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codeName="ThisWorkbook" autoCompressPictures="0"/>
  <bookViews>
    <workbookView xWindow="480" yWindow="480" windowWidth="25120" windowHeight="13800" tabRatio="841" firstSheet="4" activeTab="5"/>
  </bookViews>
  <sheets>
    <sheet name="FC-SCH" sheetId="15" r:id="rId1"/>
    <sheet name="AC-SCH" sheetId="14" r:id="rId2"/>
    <sheet name="OP-SCH" sheetId="12" r:id="rId3"/>
    <sheet name="STF-SCH" sheetId="13" r:id="rId4"/>
    <sheet name="13-2014 Ret Emp" sheetId="23" r:id="rId5"/>
    <sheet name="SUM" sheetId="1" r:id="rId6"/>
    <sheet name="CAMP" sheetId="2" r:id="rId7"/>
    <sheet name="OLIVIER" sheetId="17" r:id="rId8"/>
    <sheet name="BUNCHE" sheetId="21" r:id="rId9"/>
    <sheet name="CMO" sheetId="26" r:id="rId10"/>
    <sheet name="AC-SVC" sheetId="3" r:id="rId11"/>
    <sheet name="PT" sheetId="4" r:id="rId12"/>
    <sheet name="CCLC" sheetId="5" r:id="rId13"/>
    <sheet name="DID" sheetId="6" r:id="rId14"/>
    <sheet name="FC" sheetId="8" r:id="rId15"/>
    <sheet name="FN" sheetId="7" r:id="rId16"/>
    <sheet name="FS" sheetId="11" r:id="rId17"/>
    <sheet name="HR" sheetId="22" r:id="rId18"/>
    <sheet name="IT" sheetId="10" r:id="rId19"/>
    <sheet name="Wkng Doc" sheetId="27" r:id="rId20"/>
    <sheet name="NOTES" sheetId="16" r:id="rId21"/>
    <sheet name="Sheet1" sheetId="28" r:id="rId22"/>
    <sheet name="Sheet2" sheetId="29" r:id="rId23"/>
  </sheets>
  <definedNames>
    <definedName name="_xlnm._FilterDatabase" localSheetId="4" hidden="1">'13-2014 Ret Emp'!$A$4:$N$103</definedName>
    <definedName name="_xlnm.Print_Area" localSheetId="8">BUNCHE!$A$1:$BB$194</definedName>
    <definedName name="_xlnm.Print_Area" localSheetId="5">SUM!$A$1:$Q$192</definedName>
    <definedName name="_xlnm.Print_Titles" localSheetId="8">BUNCHE!$7:$10</definedName>
    <definedName name="_xlnm.Print_Titles" localSheetId="14">FC!$6:$10</definedName>
    <definedName name="_xlnm.Print_Titles" localSheetId="15">FN!$7:$10</definedName>
    <definedName name="_xlnm.Print_Titles" localSheetId="16">FS!$5:$10</definedName>
    <definedName name="_xlnm.Print_Titles" localSheetId="17">HR!$7:$10</definedName>
    <definedName name="_xlnm.Print_Titles" localSheetId="18">IT!$7:$10</definedName>
    <definedName name="_xlnm.Print_Titles" localSheetId="22">Sheet2!$1:$10</definedName>
    <definedName name="_xlnm.Print_Titles" localSheetId="5">SUM!$A:$B,SUM!$1:$10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1" i="8" l="1"/>
  <c r="O111" i="3"/>
  <c r="AT185" i="21"/>
  <c r="AT184" i="21"/>
  <c r="AT183" i="21"/>
  <c r="AT182" i="21"/>
  <c r="AT181" i="21"/>
  <c r="AT180" i="21"/>
  <c r="AT179" i="21"/>
  <c r="AT178" i="21"/>
  <c r="AT177" i="21"/>
  <c r="AT176" i="21"/>
  <c r="AT175" i="21"/>
  <c r="AT170" i="21"/>
  <c r="O169" i="3"/>
  <c r="AT169" i="21"/>
  <c r="AT168" i="21"/>
  <c r="AT167" i="21"/>
  <c r="AT166" i="21"/>
  <c r="AT165" i="21"/>
  <c r="AT164" i="21"/>
  <c r="AT163" i="21"/>
  <c r="AT162" i="21"/>
  <c r="AT161" i="21"/>
  <c r="AT160" i="21"/>
  <c r="AT159" i="21"/>
  <c r="O158" i="3"/>
  <c r="AT158" i="21"/>
  <c r="AT149" i="21"/>
  <c r="AT148" i="21"/>
  <c r="AT147" i="21"/>
  <c r="AT146" i="21"/>
  <c r="AT145" i="21"/>
  <c r="AT144" i="21"/>
  <c r="AT140" i="21"/>
  <c r="AT139" i="21"/>
  <c r="AT138" i="21"/>
  <c r="AT137" i="21"/>
  <c r="AT132" i="21"/>
  <c r="AT131" i="21"/>
  <c r="AT130" i="21"/>
  <c r="AT129" i="21"/>
  <c r="AT128" i="21"/>
  <c r="AT127" i="21"/>
  <c r="AT126" i="21"/>
  <c r="AT125" i="21"/>
  <c r="AT121" i="21"/>
  <c r="AT120" i="21"/>
  <c r="AT119" i="21"/>
  <c r="AT118" i="21"/>
  <c r="AT117" i="21"/>
  <c r="AT116" i="21"/>
  <c r="AT115" i="21"/>
  <c r="AT114" i="21"/>
  <c r="AT113" i="21"/>
  <c r="AT112" i="21"/>
  <c r="AT110" i="21"/>
  <c r="AT109" i="21"/>
  <c r="AT108" i="21"/>
  <c r="AT100" i="21"/>
  <c r="AT87" i="21"/>
  <c r="AT86" i="21"/>
  <c r="AT85" i="21"/>
  <c r="AT84" i="21"/>
  <c r="AT79" i="21"/>
  <c r="AT78" i="21"/>
  <c r="AT77" i="21"/>
  <c r="AT76" i="21"/>
  <c r="AT75" i="21"/>
  <c r="AT74" i="21"/>
  <c r="AT72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48" i="21"/>
  <c r="AT47" i="21"/>
  <c r="AT46" i="21"/>
  <c r="AT45" i="21"/>
  <c r="AT44" i="21"/>
  <c r="AT43" i="21"/>
  <c r="AT42" i="21"/>
  <c r="AT41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13" i="21"/>
  <c r="C14" i="21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41" i="26"/>
  <c r="D42" i="26"/>
  <c r="D43" i="26"/>
  <c r="D44" i="26"/>
  <c r="D45" i="26"/>
  <c r="D46" i="26"/>
  <c r="D47" i="26"/>
  <c r="D48" i="26"/>
  <c r="D49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68" i="26"/>
  <c r="D184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41" i="26"/>
  <c r="E42" i="26"/>
  <c r="E43" i="26"/>
  <c r="E44" i="26"/>
  <c r="E45" i="26"/>
  <c r="E46" i="26"/>
  <c r="E47" i="26"/>
  <c r="E48" i="26"/>
  <c r="E49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8" i="26"/>
  <c r="E184" i="26"/>
  <c r="C38" i="6"/>
  <c r="C49" i="6"/>
  <c r="C66" i="6"/>
  <c r="C68" i="6"/>
  <c r="F68" i="26"/>
  <c r="F184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41" i="26"/>
  <c r="G42" i="26"/>
  <c r="G43" i="26"/>
  <c r="G44" i="26"/>
  <c r="G45" i="26"/>
  <c r="G46" i="26"/>
  <c r="G47" i="26"/>
  <c r="G48" i="26"/>
  <c r="G49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68" i="26"/>
  <c r="G184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41" i="26"/>
  <c r="H42" i="26"/>
  <c r="H43" i="26"/>
  <c r="H44" i="26"/>
  <c r="H45" i="26"/>
  <c r="H46" i="26"/>
  <c r="H47" i="26"/>
  <c r="H48" i="26"/>
  <c r="H49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68" i="26"/>
  <c r="H184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41" i="26"/>
  <c r="I42" i="26"/>
  <c r="I43" i="26"/>
  <c r="I44" i="26"/>
  <c r="I45" i="26"/>
  <c r="I46" i="26"/>
  <c r="I47" i="26"/>
  <c r="I48" i="26"/>
  <c r="I49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68" i="26"/>
  <c r="I184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41" i="26"/>
  <c r="J42" i="26"/>
  <c r="J43" i="26"/>
  <c r="J44" i="26"/>
  <c r="J45" i="26"/>
  <c r="J46" i="26"/>
  <c r="J47" i="26"/>
  <c r="J48" i="26"/>
  <c r="J49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68" i="26"/>
  <c r="J184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41" i="26"/>
  <c r="K42" i="26"/>
  <c r="K43" i="26"/>
  <c r="K44" i="26"/>
  <c r="K45" i="26"/>
  <c r="K46" i="26"/>
  <c r="K47" i="26"/>
  <c r="K48" i="26"/>
  <c r="K49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D31" i="7"/>
  <c r="K31" i="26"/>
  <c r="K32" i="26"/>
  <c r="K33" i="26"/>
  <c r="K34" i="26"/>
  <c r="K35" i="26"/>
  <c r="K36" i="26"/>
  <c r="K37" i="26"/>
  <c r="K38" i="26"/>
  <c r="K68" i="26"/>
  <c r="K184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41" i="26"/>
  <c r="L42" i="26"/>
  <c r="L43" i="26"/>
  <c r="L44" i="26"/>
  <c r="L45" i="26"/>
  <c r="L46" i="26"/>
  <c r="L47" i="26"/>
  <c r="L48" i="26"/>
  <c r="L49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68" i="26"/>
  <c r="L184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41" i="26"/>
  <c r="M42" i="26"/>
  <c r="M43" i="26"/>
  <c r="M44" i="26"/>
  <c r="M45" i="26"/>
  <c r="M46" i="26"/>
  <c r="M47" i="26"/>
  <c r="M48" i="26"/>
  <c r="M49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68" i="26"/>
  <c r="M184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41" i="26"/>
  <c r="N42" i="26"/>
  <c r="N43" i="26"/>
  <c r="N44" i="26"/>
  <c r="N45" i="26"/>
  <c r="N46" i="26"/>
  <c r="N47" i="26"/>
  <c r="N48" i="26"/>
  <c r="N49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68" i="26"/>
  <c r="N184" i="26"/>
  <c r="O53" i="26"/>
  <c r="O54" i="26"/>
  <c r="O55" i="26"/>
  <c r="O56" i="26"/>
  <c r="O57" i="26"/>
  <c r="O58" i="26"/>
  <c r="O59" i="26"/>
  <c r="O60" i="26"/>
  <c r="O61" i="26"/>
  <c r="O62" i="26"/>
  <c r="O63" i="26"/>
  <c r="O64" i="26"/>
  <c r="O65" i="26"/>
  <c r="O66" i="26"/>
  <c r="O41" i="26"/>
  <c r="O42" i="26"/>
  <c r="O43" i="26"/>
  <c r="O44" i="26"/>
  <c r="O45" i="26"/>
  <c r="O46" i="26"/>
  <c r="O47" i="26"/>
  <c r="O48" i="26"/>
  <c r="O49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68" i="26"/>
  <c r="O184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41" i="26"/>
  <c r="P42" i="26"/>
  <c r="P43" i="26"/>
  <c r="P44" i="26"/>
  <c r="P45" i="26"/>
  <c r="P46" i="26"/>
  <c r="P47" i="26"/>
  <c r="P48" i="26"/>
  <c r="P49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68" i="26"/>
  <c r="P184" i="26"/>
  <c r="Q53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41" i="26"/>
  <c r="Q42" i="26"/>
  <c r="Q43" i="26"/>
  <c r="Q44" i="26"/>
  <c r="Q45" i="26"/>
  <c r="Q46" i="26"/>
  <c r="Q47" i="26"/>
  <c r="Q48" i="26"/>
  <c r="Q49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68" i="26"/>
  <c r="Q184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41" i="26"/>
  <c r="R42" i="26"/>
  <c r="R43" i="26"/>
  <c r="R44" i="26"/>
  <c r="R45" i="26"/>
  <c r="R46" i="26"/>
  <c r="R47" i="26"/>
  <c r="R48" i="26"/>
  <c r="R49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68" i="26"/>
  <c r="R184" i="26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41" i="10"/>
  <c r="H42" i="10"/>
  <c r="H43" i="10"/>
  <c r="H44" i="10"/>
  <c r="H45" i="10"/>
  <c r="H46" i="10"/>
  <c r="H47" i="10"/>
  <c r="H48" i="10"/>
  <c r="H49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8" i="10"/>
  <c r="C108" i="10"/>
  <c r="H108" i="10"/>
  <c r="H109" i="10"/>
  <c r="H7" i="10"/>
  <c r="D110" i="10"/>
  <c r="E110" i="10"/>
  <c r="F110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5" i="10"/>
  <c r="H126" i="10"/>
  <c r="H127" i="10"/>
  <c r="H128" i="10"/>
  <c r="H129" i="10"/>
  <c r="H130" i="10"/>
  <c r="H131" i="10"/>
  <c r="H132" i="10"/>
  <c r="H133" i="10"/>
  <c r="H137" i="10"/>
  <c r="H138" i="10"/>
  <c r="H139" i="10"/>
  <c r="H140" i="10"/>
  <c r="H141" i="10"/>
  <c r="H144" i="10"/>
  <c r="H145" i="10"/>
  <c r="H146" i="10"/>
  <c r="H147" i="10"/>
  <c r="H148" i="10"/>
  <c r="C149" i="10"/>
  <c r="D149" i="10"/>
  <c r="E149" i="10"/>
  <c r="F149" i="10"/>
  <c r="H149" i="10"/>
  <c r="H150" i="10"/>
  <c r="H154" i="10"/>
  <c r="H155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5" i="10"/>
  <c r="H176" i="10"/>
  <c r="H177" i="10"/>
  <c r="H178" i="10"/>
  <c r="H179" i="10"/>
  <c r="H180" i="10"/>
  <c r="H181" i="10"/>
  <c r="H182" i="10"/>
  <c r="H183" i="10"/>
  <c r="C184" i="10"/>
  <c r="D183" i="2"/>
  <c r="D184" i="10"/>
  <c r="E183" i="2"/>
  <c r="E184" i="10"/>
  <c r="F183" i="2"/>
  <c r="F184" i="10"/>
  <c r="H184" i="10"/>
  <c r="C185" i="10"/>
  <c r="D185" i="2"/>
  <c r="D185" i="10"/>
  <c r="E185" i="2"/>
  <c r="E185" i="10"/>
  <c r="F185" i="2"/>
  <c r="F185" i="10"/>
  <c r="H185" i="10"/>
  <c r="H186" i="10"/>
  <c r="H188" i="10"/>
  <c r="H72" i="10"/>
  <c r="H73" i="10"/>
  <c r="H74" i="10"/>
  <c r="H75" i="10"/>
  <c r="D55" i="12"/>
  <c r="D56" i="12"/>
  <c r="D57" i="12"/>
  <c r="D58" i="12"/>
  <c r="D59" i="12"/>
  <c r="D60" i="12"/>
  <c r="D61" i="12"/>
  <c r="D62" i="12"/>
  <c r="D63" i="12"/>
  <c r="D64" i="12"/>
  <c r="I73" i="23"/>
  <c r="D76" i="10"/>
  <c r="E76" i="10"/>
  <c r="F76" i="10"/>
  <c r="H76" i="10"/>
  <c r="H77" i="10"/>
  <c r="H78" i="10"/>
  <c r="H79" i="10"/>
  <c r="H80" i="10"/>
  <c r="H84" i="10"/>
  <c r="H85" i="10"/>
  <c r="H86" i="10"/>
  <c r="H87" i="10"/>
  <c r="H88" i="10"/>
  <c r="H90" i="10"/>
  <c r="C93" i="10"/>
  <c r="D93" i="10"/>
  <c r="E93" i="10"/>
  <c r="F93" i="10"/>
  <c r="H93" i="10"/>
  <c r="C94" i="10"/>
  <c r="D94" i="10"/>
  <c r="E94" i="10"/>
  <c r="F94" i="10"/>
  <c r="H94" i="10"/>
  <c r="C88" i="10"/>
  <c r="C80" i="10"/>
  <c r="C95" i="10"/>
  <c r="D88" i="10"/>
  <c r="D80" i="10"/>
  <c r="D95" i="10"/>
  <c r="E88" i="10"/>
  <c r="E80" i="10"/>
  <c r="E95" i="10"/>
  <c r="F88" i="10"/>
  <c r="F80" i="10"/>
  <c r="F95" i="10"/>
  <c r="H95" i="10"/>
  <c r="C96" i="10"/>
  <c r="D96" i="10"/>
  <c r="E96" i="10"/>
  <c r="F96" i="10"/>
  <c r="H96" i="10"/>
  <c r="C97" i="10"/>
  <c r="D97" i="10"/>
  <c r="E97" i="10"/>
  <c r="F97" i="10"/>
  <c r="H97" i="10"/>
  <c r="C98" i="10"/>
  <c r="D98" i="10"/>
  <c r="E98" i="10"/>
  <c r="F98" i="10"/>
  <c r="H98" i="10"/>
  <c r="C99" i="10"/>
  <c r="D99" i="10"/>
  <c r="E99" i="10"/>
  <c r="F99" i="10"/>
  <c r="H99" i="10"/>
  <c r="H100" i="10"/>
  <c r="C101" i="10"/>
  <c r="D101" i="10"/>
  <c r="E101" i="10"/>
  <c r="F101" i="10"/>
  <c r="H101" i="10"/>
  <c r="H102" i="10"/>
  <c r="H104" i="10"/>
  <c r="H190" i="10"/>
  <c r="H192" i="10"/>
  <c r="D38" i="10"/>
  <c r="D49" i="10"/>
  <c r="D66" i="10"/>
  <c r="D68" i="10"/>
  <c r="D122" i="10"/>
  <c r="D133" i="10"/>
  <c r="D141" i="10"/>
  <c r="D150" i="10"/>
  <c r="D155" i="10"/>
  <c r="D171" i="10"/>
  <c r="D186" i="10"/>
  <c r="D188" i="10"/>
  <c r="D90" i="10"/>
  <c r="D102" i="10"/>
  <c r="D104" i="10"/>
  <c r="D190" i="10"/>
  <c r="D192" i="10"/>
  <c r="E38" i="10"/>
  <c r="E49" i="10"/>
  <c r="E66" i="10"/>
  <c r="E68" i="10"/>
  <c r="E122" i="10"/>
  <c r="E133" i="10"/>
  <c r="E141" i="10"/>
  <c r="E150" i="10"/>
  <c r="E155" i="10"/>
  <c r="E171" i="10"/>
  <c r="E186" i="10"/>
  <c r="E188" i="10"/>
  <c r="E90" i="10"/>
  <c r="E102" i="10"/>
  <c r="E104" i="10"/>
  <c r="E190" i="10"/>
  <c r="E192" i="10"/>
  <c r="F38" i="10"/>
  <c r="F49" i="10"/>
  <c r="F66" i="10"/>
  <c r="F68" i="10"/>
  <c r="F122" i="10"/>
  <c r="F133" i="10"/>
  <c r="F141" i="10"/>
  <c r="F150" i="10"/>
  <c r="F155" i="10"/>
  <c r="F171" i="10"/>
  <c r="F186" i="10"/>
  <c r="F188" i="10"/>
  <c r="F90" i="10"/>
  <c r="F102" i="10"/>
  <c r="F104" i="10"/>
  <c r="F190" i="10"/>
  <c r="F192" i="10"/>
  <c r="C38" i="10"/>
  <c r="C49" i="10"/>
  <c r="C66" i="10"/>
  <c r="C68" i="10"/>
  <c r="C122" i="10"/>
  <c r="C133" i="10"/>
  <c r="C141" i="10"/>
  <c r="C150" i="10"/>
  <c r="C155" i="10"/>
  <c r="C171" i="10"/>
  <c r="C186" i="10"/>
  <c r="C188" i="10"/>
  <c r="C90" i="10"/>
  <c r="C102" i="10"/>
  <c r="C104" i="10"/>
  <c r="C190" i="10"/>
  <c r="C192" i="10"/>
  <c r="I95" i="23"/>
  <c r="D27" i="13"/>
  <c r="D28" i="13"/>
  <c r="G77" i="7"/>
  <c r="F2" i="1"/>
  <c r="B2" i="2"/>
  <c r="F56" i="3"/>
  <c r="E56" i="3"/>
  <c r="D56" i="3"/>
  <c r="E53" i="3"/>
  <c r="D53" i="3"/>
  <c r="D4" i="14"/>
  <c r="D5" i="14"/>
  <c r="D6" i="14"/>
  <c r="D7" i="14"/>
  <c r="D8" i="14"/>
  <c r="D9" i="14"/>
  <c r="D10" i="14"/>
  <c r="D11" i="14"/>
  <c r="I62" i="23"/>
  <c r="G72" i="2"/>
  <c r="B4" i="17"/>
  <c r="C20" i="17"/>
  <c r="C20" i="2"/>
  <c r="D81" i="12"/>
  <c r="D82" i="12"/>
  <c r="D83" i="12"/>
  <c r="D84" i="12"/>
  <c r="D85" i="12"/>
  <c r="I70" i="23"/>
  <c r="I71" i="23"/>
  <c r="C77" i="22"/>
  <c r="K7" i="28"/>
  <c r="G59" i="28"/>
  <c r="K59" i="28"/>
  <c r="BE59" i="21"/>
  <c r="B6" i="26"/>
  <c r="B7" i="26"/>
  <c r="B4" i="26"/>
  <c r="I99" i="23"/>
  <c r="I100" i="23"/>
  <c r="I101" i="23"/>
  <c r="I102" i="23"/>
  <c r="D78" i="11"/>
  <c r="D82" i="13"/>
  <c r="D83" i="13"/>
  <c r="I103" i="23"/>
  <c r="E78" i="11"/>
  <c r="AY176" i="21"/>
  <c r="AY177" i="21"/>
  <c r="AY178" i="21"/>
  <c r="AY179" i="21"/>
  <c r="AY180" i="21"/>
  <c r="AY175" i="21"/>
  <c r="AJ175" i="17"/>
  <c r="BN175" i="2"/>
  <c r="Z86" i="17"/>
  <c r="BD85" i="2"/>
  <c r="BD86" i="2"/>
  <c r="AP86" i="21"/>
  <c r="D86" i="26"/>
  <c r="D73" i="26"/>
  <c r="N185" i="28"/>
  <c r="I7" i="28"/>
  <c r="J7" i="28"/>
  <c r="O7" i="28"/>
  <c r="O185" i="28"/>
  <c r="W185" i="26"/>
  <c r="N184" i="28"/>
  <c r="O184" i="28"/>
  <c r="W184" i="26"/>
  <c r="N183" i="28"/>
  <c r="O183" i="28"/>
  <c r="W183" i="26"/>
  <c r="N181" i="28"/>
  <c r="O181" i="28"/>
  <c r="W181" i="26"/>
  <c r="N180" i="28"/>
  <c r="O180" i="28"/>
  <c r="W180" i="26"/>
  <c r="N178" i="28"/>
  <c r="O178" i="28"/>
  <c r="W178" i="26"/>
  <c r="N177" i="28"/>
  <c r="O177" i="28"/>
  <c r="W177" i="26"/>
  <c r="M176" i="28"/>
  <c r="N176" i="28"/>
  <c r="O176" i="28"/>
  <c r="W176" i="26"/>
  <c r="N175" i="28"/>
  <c r="O175" i="28"/>
  <c r="W175" i="26"/>
  <c r="N170" i="28"/>
  <c r="O170" i="28"/>
  <c r="W170" i="26"/>
  <c r="N169" i="28"/>
  <c r="O169" i="28"/>
  <c r="W169" i="26"/>
  <c r="N168" i="28"/>
  <c r="O168" i="28"/>
  <c r="W168" i="26"/>
  <c r="N167" i="28"/>
  <c r="O167" i="28"/>
  <c r="W167" i="26"/>
  <c r="N166" i="28"/>
  <c r="O166" i="28"/>
  <c r="W166" i="26"/>
  <c r="N165" i="28"/>
  <c r="O165" i="28"/>
  <c r="W165" i="26"/>
  <c r="N164" i="28"/>
  <c r="O164" i="28"/>
  <c r="W164" i="26"/>
  <c r="N163" i="28"/>
  <c r="O163" i="28"/>
  <c r="W163" i="26"/>
  <c r="N162" i="28"/>
  <c r="O162" i="28"/>
  <c r="W162" i="26"/>
  <c r="N161" i="28"/>
  <c r="O161" i="28"/>
  <c r="W161" i="26"/>
  <c r="N160" i="28"/>
  <c r="O160" i="28"/>
  <c r="W160" i="26"/>
  <c r="N159" i="28"/>
  <c r="O159" i="28"/>
  <c r="W159" i="26"/>
  <c r="N158" i="28"/>
  <c r="O158" i="28"/>
  <c r="W158" i="26"/>
  <c r="W171" i="26"/>
  <c r="N154" i="28"/>
  <c r="O154" i="28"/>
  <c r="W154" i="26"/>
  <c r="N149" i="28"/>
  <c r="O149" i="28"/>
  <c r="W149" i="26"/>
  <c r="N148" i="28"/>
  <c r="O148" i="28"/>
  <c r="W148" i="26"/>
  <c r="N147" i="28"/>
  <c r="O147" i="28"/>
  <c r="W147" i="26"/>
  <c r="N146" i="28"/>
  <c r="O146" i="28"/>
  <c r="W146" i="26"/>
  <c r="N144" i="28"/>
  <c r="O144" i="28"/>
  <c r="W144" i="26"/>
  <c r="N145" i="28"/>
  <c r="O145" i="28"/>
  <c r="W145" i="26"/>
  <c r="W150" i="26"/>
  <c r="N140" i="28"/>
  <c r="O140" i="28"/>
  <c r="W140" i="26"/>
  <c r="N139" i="28"/>
  <c r="O139" i="28"/>
  <c r="W139" i="26"/>
  <c r="N138" i="28"/>
  <c r="O138" i="28"/>
  <c r="W138" i="26"/>
  <c r="N137" i="28"/>
  <c r="O137" i="28"/>
  <c r="W137" i="26"/>
  <c r="W141" i="26"/>
  <c r="N132" i="28"/>
  <c r="O132" i="28"/>
  <c r="W132" i="26"/>
  <c r="N131" i="28"/>
  <c r="O131" i="28"/>
  <c r="W131" i="26"/>
  <c r="N130" i="28"/>
  <c r="O130" i="28"/>
  <c r="W130" i="26"/>
  <c r="N129" i="28"/>
  <c r="O129" i="28"/>
  <c r="W129" i="26"/>
  <c r="N128" i="28"/>
  <c r="O128" i="28"/>
  <c r="W128" i="26"/>
  <c r="N127" i="28"/>
  <c r="O127" i="28"/>
  <c r="W127" i="26"/>
  <c r="N126" i="28"/>
  <c r="O126" i="28"/>
  <c r="W126" i="26"/>
  <c r="N125" i="28"/>
  <c r="O125" i="28"/>
  <c r="W125" i="26"/>
  <c r="W133" i="26"/>
  <c r="M121" i="28"/>
  <c r="N121" i="28"/>
  <c r="O121" i="28"/>
  <c r="W121" i="26"/>
  <c r="N120" i="28"/>
  <c r="O120" i="28"/>
  <c r="W120" i="26"/>
  <c r="N119" i="28"/>
  <c r="O119" i="28"/>
  <c r="W119" i="26"/>
  <c r="N118" i="28"/>
  <c r="O118" i="28"/>
  <c r="W118" i="26"/>
  <c r="N117" i="28"/>
  <c r="O117" i="28"/>
  <c r="W117" i="26"/>
  <c r="N116" i="28"/>
  <c r="O116" i="28"/>
  <c r="W116" i="26"/>
  <c r="N115" i="28"/>
  <c r="O115" i="28"/>
  <c r="W115" i="26"/>
  <c r="N114" i="28"/>
  <c r="O114" i="28"/>
  <c r="W114" i="26"/>
  <c r="N113" i="28"/>
  <c r="O113" i="28"/>
  <c r="W113" i="26"/>
  <c r="N112" i="28"/>
  <c r="O112" i="28"/>
  <c r="W112" i="26"/>
  <c r="N111" i="28"/>
  <c r="O111" i="28"/>
  <c r="W111" i="26"/>
  <c r="N110" i="28"/>
  <c r="O110" i="28"/>
  <c r="W110" i="26"/>
  <c r="N109" i="28"/>
  <c r="O109" i="28"/>
  <c r="W109" i="26"/>
  <c r="N108" i="28"/>
  <c r="O108" i="28"/>
  <c r="W108" i="26"/>
  <c r="N101" i="28"/>
  <c r="O101" i="28"/>
  <c r="W101" i="26"/>
  <c r="N100" i="28"/>
  <c r="O100" i="28"/>
  <c r="W100" i="26"/>
  <c r="N99" i="28"/>
  <c r="O99" i="28"/>
  <c r="W99" i="26"/>
  <c r="N98" i="28"/>
  <c r="O98" i="28"/>
  <c r="W98" i="26"/>
  <c r="N97" i="28"/>
  <c r="O97" i="28"/>
  <c r="W97" i="26"/>
  <c r="N96" i="28"/>
  <c r="O96" i="28"/>
  <c r="W96" i="26"/>
  <c r="N95" i="28"/>
  <c r="O95" i="28"/>
  <c r="W95" i="26"/>
  <c r="N94" i="28"/>
  <c r="O94" i="28"/>
  <c r="W94" i="26"/>
  <c r="N93" i="28"/>
  <c r="O93" i="28"/>
  <c r="W93" i="26"/>
  <c r="W102" i="26"/>
  <c r="N85" i="28"/>
  <c r="O85" i="28"/>
  <c r="W85" i="26"/>
  <c r="N84" i="28"/>
  <c r="O84" i="28"/>
  <c r="W84" i="26"/>
  <c r="N77" i="28"/>
  <c r="O77" i="28"/>
  <c r="W77" i="26"/>
  <c r="N75" i="28"/>
  <c r="O75" i="28"/>
  <c r="W75" i="26"/>
  <c r="N74" i="28"/>
  <c r="O74" i="28"/>
  <c r="W74" i="26"/>
  <c r="N73" i="28"/>
  <c r="O73" i="28"/>
  <c r="W73" i="26"/>
  <c r="N65" i="28"/>
  <c r="O65" i="28"/>
  <c r="W65" i="26"/>
  <c r="N64" i="28"/>
  <c r="O64" i="28"/>
  <c r="W64" i="26"/>
  <c r="N63" i="28"/>
  <c r="O63" i="28"/>
  <c r="W63" i="26"/>
  <c r="N62" i="28"/>
  <c r="O62" i="28"/>
  <c r="W62" i="26"/>
  <c r="N61" i="28"/>
  <c r="O61" i="28"/>
  <c r="W61" i="26"/>
  <c r="N60" i="28"/>
  <c r="O60" i="28"/>
  <c r="W60" i="26"/>
  <c r="N59" i="28"/>
  <c r="O59" i="28"/>
  <c r="W59" i="26"/>
  <c r="N58" i="28"/>
  <c r="O58" i="28"/>
  <c r="W58" i="26"/>
  <c r="N57" i="28"/>
  <c r="O57" i="28"/>
  <c r="W57" i="26"/>
  <c r="N56" i="28"/>
  <c r="O56" i="28"/>
  <c r="W56" i="26"/>
  <c r="N55" i="28"/>
  <c r="O55" i="28"/>
  <c r="W55" i="26"/>
  <c r="N54" i="28"/>
  <c r="O54" i="28"/>
  <c r="W54" i="26"/>
  <c r="N53" i="28"/>
  <c r="O53" i="28"/>
  <c r="W53" i="26"/>
  <c r="W66" i="26"/>
  <c r="N48" i="28"/>
  <c r="O48" i="28"/>
  <c r="W48" i="26"/>
  <c r="N47" i="28"/>
  <c r="O47" i="28"/>
  <c r="W47" i="26"/>
  <c r="N46" i="28"/>
  <c r="O46" i="28"/>
  <c r="W46" i="26"/>
  <c r="N45" i="28"/>
  <c r="O45" i="28"/>
  <c r="W45" i="26"/>
  <c r="N44" i="28"/>
  <c r="O44" i="28"/>
  <c r="W44" i="26"/>
  <c r="N43" i="28"/>
  <c r="O43" i="28"/>
  <c r="W43" i="26"/>
  <c r="N42" i="28"/>
  <c r="O42" i="28"/>
  <c r="W42" i="26"/>
  <c r="N41" i="28"/>
  <c r="O41" i="28"/>
  <c r="W41" i="26"/>
  <c r="W49" i="26"/>
  <c r="M14" i="28"/>
  <c r="N14" i="28"/>
  <c r="O14" i="28"/>
  <c r="W14" i="26"/>
  <c r="N15" i="28"/>
  <c r="O15" i="28"/>
  <c r="W15" i="26"/>
  <c r="N16" i="28"/>
  <c r="O16" i="28"/>
  <c r="W16" i="26"/>
  <c r="W13" i="26"/>
  <c r="N17" i="28"/>
  <c r="O17" i="28"/>
  <c r="W17" i="26"/>
  <c r="N18" i="28"/>
  <c r="O18" i="28"/>
  <c r="W18" i="26"/>
  <c r="N19" i="28"/>
  <c r="O19" i="28"/>
  <c r="W19" i="26"/>
  <c r="N20" i="28"/>
  <c r="O20" i="28"/>
  <c r="W20" i="26"/>
  <c r="N21" i="28"/>
  <c r="O21" i="28"/>
  <c r="W21" i="26"/>
  <c r="N22" i="28"/>
  <c r="O22" i="28"/>
  <c r="W22" i="26"/>
  <c r="N23" i="28"/>
  <c r="O23" i="28"/>
  <c r="W23" i="26"/>
  <c r="N24" i="28"/>
  <c r="O24" i="28"/>
  <c r="W24" i="26"/>
  <c r="N25" i="28"/>
  <c r="O25" i="28"/>
  <c r="W25" i="26"/>
  <c r="N26" i="28"/>
  <c r="O26" i="28"/>
  <c r="W26" i="26"/>
  <c r="N27" i="28"/>
  <c r="O27" i="28"/>
  <c r="W27" i="26"/>
  <c r="N28" i="28"/>
  <c r="O28" i="28"/>
  <c r="W28" i="26"/>
  <c r="N29" i="28"/>
  <c r="O29" i="28"/>
  <c r="W29" i="26"/>
  <c r="N30" i="28"/>
  <c r="O30" i="28"/>
  <c r="W30" i="26"/>
  <c r="N31" i="28"/>
  <c r="O31" i="28"/>
  <c r="W31" i="26"/>
  <c r="N32" i="28"/>
  <c r="O32" i="28"/>
  <c r="W32" i="26"/>
  <c r="N33" i="28"/>
  <c r="O33" i="28"/>
  <c r="W33" i="26"/>
  <c r="N34" i="28"/>
  <c r="O34" i="28"/>
  <c r="W34" i="26"/>
  <c r="M35" i="28"/>
  <c r="N35" i="28"/>
  <c r="O35" i="28"/>
  <c r="W35" i="26"/>
  <c r="N36" i="28"/>
  <c r="O36" i="28"/>
  <c r="W36" i="26"/>
  <c r="N37" i="28"/>
  <c r="O37" i="28"/>
  <c r="W37" i="26"/>
  <c r="W38" i="26"/>
  <c r="W155" i="26"/>
  <c r="W122" i="26"/>
  <c r="O38" i="28"/>
  <c r="O49" i="28"/>
  <c r="O66" i="28"/>
  <c r="O68" i="28"/>
  <c r="N72" i="28"/>
  <c r="O72" i="28"/>
  <c r="N76" i="28"/>
  <c r="O76" i="28"/>
  <c r="N78" i="28"/>
  <c r="O78" i="28"/>
  <c r="N79" i="28"/>
  <c r="O79" i="28"/>
  <c r="O80" i="28"/>
  <c r="N86" i="28"/>
  <c r="O86" i="28"/>
  <c r="N87" i="28"/>
  <c r="O87" i="28"/>
  <c r="O88" i="28"/>
  <c r="O102" i="28"/>
  <c r="O122" i="28"/>
  <c r="O133" i="28"/>
  <c r="O141" i="28"/>
  <c r="O150" i="28"/>
  <c r="O155" i="28"/>
  <c r="O171" i="28"/>
  <c r="N179" i="28"/>
  <c r="O179" i="28"/>
  <c r="N182" i="28"/>
  <c r="O182" i="28"/>
  <c r="O186" i="28"/>
  <c r="N13" i="28"/>
  <c r="M186" i="28"/>
  <c r="M171" i="28"/>
  <c r="M155" i="28"/>
  <c r="M150" i="28"/>
  <c r="M141" i="28"/>
  <c r="M133" i="28"/>
  <c r="M122" i="28"/>
  <c r="M102" i="28"/>
  <c r="M88" i="28"/>
  <c r="M80" i="28"/>
  <c r="M90" i="28"/>
  <c r="M66" i="28"/>
  <c r="M49" i="28"/>
  <c r="M38" i="28"/>
  <c r="BE138" i="21"/>
  <c r="BE149" i="21"/>
  <c r="BD186" i="21"/>
  <c r="BD171" i="21"/>
  <c r="BD155" i="21"/>
  <c r="BD150" i="21"/>
  <c r="BD141" i="21"/>
  <c r="BD133" i="21"/>
  <c r="BD122" i="21"/>
  <c r="BD188" i="21"/>
  <c r="BD102" i="21"/>
  <c r="BD88" i="21"/>
  <c r="BD80" i="21"/>
  <c r="BD90" i="21"/>
  <c r="BD104" i="21"/>
  <c r="BD190" i="21"/>
  <c r="BD66" i="21"/>
  <c r="BD49" i="21"/>
  <c r="BD38" i="21"/>
  <c r="BD68" i="21"/>
  <c r="AO186" i="17"/>
  <c r="AO171" i="17"/>
  <c r="AO155" i="17"/>
  <c r="AO150" i="17"/>
  <c r="AO141" i="17"/>
  <c r="AO133" i="17"/>
  <c r="AO122" i="17"/>
  <c r="AO188" i="17"/>
  <c r="AO102" i="17"/>
  <c r="AO88" i="17"/>
  <c r="AO80" i="17"/>
  <c r="AO90" i="17"/>
  <c r="AO104" i="17"/>
  <c r="AO190" i="17"/>
  <c r="AO66" i="17"/>
  <c r="AO49" i="17"/>
  <c r="AO38" i="17"/>
  <c r="AO68" i="17"/>
  <c r="W68" i="26"/>
  <c r="O90" i="28"/>
  <c r="O104" i="28"/>
  <c r="O188" i="28"/>
  <c r="O190" i="28"/>
  <c r="O192" i="28"/>
  <c r="M104" i="28"/>
  <c r="M68" i="28"/>
  <c r="M188" i="28"/>
  <c r="M190" i="28"/>
  <c r="BD192" i="21"/>
  <c r="AO192" i="17"/>
  <c r="BT41" i="2"/>
  <c r="B4" i="2"/>
  <c r="BS185" i="2"/>
  <c r="BS184" i="2"/>
  <c r="BS183" i="2"/>
  <c r="BS182" i="2"/>
  <c r="BS181" i="2"/>
  <c r="BS180" i="2"/>
  <c r="BS179" i="2"/>
  <c r="BS178" i="2"/>
  <c r="BS177" i="2"/>
  <c r="BS176" i="2"/>
  <c r="BS175" i="2"/>
  <c r="BS170" i="2"/>
  <c r="BT170" i="2"/>
  <c r="BS169" i="2"/>
  <c r="BS168" i="2"/>
  <c r="BS167" i="2"/>
  <c r="BS166" i="2"/>
  <c r="BS165" i="2"/>
  <c r="BS164" i="2"/>
  <c r="BS163" i="2"/>
  <c r="BS162" i="2"/>
  <c r="BS161" i="2"/>
  <c r="BS160" i="2"/>
  <c r="BS159" i="2"/>
  <c r="BS158" i="2"/>
  <c r="BT158" i="2"/>
  <c r="BS148" i="2"/>
  <c r="BS154" i="2"/>
  <c r="BS155" i="2"/>
  <c r="BS149" i="2"/>
  <c r="BS147" i="2"/>
  <c r="BS146" i="2"/>
  <c r="BS145" i="2"/>
  <c r="BS144" i="2"/>
  <c r="BS140" i="2"/>
  <c r="BS139" i="2"/>
  <c r="BS138" i="2"/>
  <c r="BS137" i="2"/>
  <c r="BS132" i="2"/>
  <c r="BS131" i="2"/>
  <c r="BS130" i="2"/>
  <c r="BS129" i="2"/>
  <c r="BS128" i="2"/>
  <c r="BS127" i="2"/>
  <c r="BS126" i="2"/>
  <c r="BS125" i="2"/>
  <c r="BS121" i="2"/>
  <c r="BT121" i="2"/>
  <c r="BS120" i="2"/>
  <c r="BS119" i="2"/>
  <c r="BS118" i="2"/>
  <c r="BS117" i="2"/>
  <c r="BT117" i="2"/>
  <c r="BS116" i="2"/>
  <c r="BS115" i="2"/>
  <c r="BS114" i="2"/>
  <c r="BS113" i="2"/>
  <c r="BS112" i="2"/>
  <c r="BS111" i="2"/>
  <c r="BS110" i="2"/>
  <c r="BS109" i="2"/>
  <c r="BS108" i="2"/>
  <c r="BS101" i="2"/>
  <c r="BS100" i="2"/>
  <c r="BS99" i="2"/>
  <c r="BS98" i="2"/>
  <c r="BS97" i="2"/>
  <c r="BS96" i="2"/>
  <c r="BS95" i="2"/>
  <c r="BS94" i="2"/>
  <c r="BS93" i="2"/>
  <c r="BS87" i="2"/>
  <c r="BS86" i="2"/>
  <c r="BS85" i="2"/>
  <c r="BS84" i="2"/>
  <c r="BS79" i="2"/>
  <c r="BS78" i="2"/>
  <c r="BS77" i="2"/>
  <c r="BS76" i="2"/>
  <c r="BS75" i="2"/>
  <c r="BS74" i="2"/>
  <c r="BS73" i="2"/>
  <c r="BS72" i="2"/>
  <c r="BS65" i="2"/>
  <c r="BS64" i="2"/>
  <c r="BS63" i="2"/>
  <c r="BS62" i="2"/>
  <c r="BS61" i="2"/>
  <c r="BS60" i="2"/>
  <c r="BS59" i="2"/>
  <c r="BS58" i="2"/>
  <c r="BS57" i="2"/>
  <c r="BS56" i="2"/>
  <c r="BS55" i="2"/>
  <c r="BS54" i="2"/>
  <c r="BS53" i="2"/>
  <c r="BS48" i="2"/>
  <c r="BS47" i="2"/>
  <c r="BS46" i="2"/>
  <c r="BS45" i="2"/>
  <c r="BS44" i="2"/>
  <c r="BS43" i="2"/>
  <c r="BS42" i="2"/>
  <c r="BS41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13" i="2"/>
  <c r="AK84" i="2"/>
  <c r="AJ84" i="2"/>
  <c r="AI84" i="2"/>
  <c r="AH84" i="2"/>
  <c r="AF84" i="2"/>
  <c r="AE84" i="2"/>
  <c r="AD84" i="2"/>
  <c r="AC84" i="2"/>
  <c r="AG84" i="2"/>
  <c r="AL84" i="2"/>
  <c r="D80" i="14"/>
  <c r="D81" i="14"/>
  <c r="D82" i="14"/>
  <c r="I21" i="23"/>
  <c r="AI74" i="2"/>
  <c r="AH74" i="2"/>
  <c r="AF74" i="2"/>
  <c r="AE74" i="2"/>
  <c r="D40" i="14"/>
  <c r="D41" i="14"/>
  <c r="D42" i="14"/>
  <c r="D43" i="14"/>
  <c r="I30" i="23"/>
  <c r="AL73" i="2"/>
  <c r="D65" i="14"/>
  <c r="D66" i="14"/>
  <c r="D67" i="14"/>
  <c r="D68" i="14"/>
  <c r="D69" i="14"/>
  <c r="AK73" i="2"/>
  <c r="D44" i="14"/>
  <c r="D45" i="14"/>
  <c r="D46" i="14"/>
  <c r="I38" i="23"/>
  <c r="AJ73" i="2"/>
  <c r="I50" i="23"/>
  <c r="AI73" i="2"/>
  <c r="D47" i="14"/>
  <c r="D48" i="14"/>
  <c r="D49" i="14"/>
  <c r="F49" i="14"/>
  <c r="I51" i="23"/>
  <c r="AH73" i="2"/>
  <c r="F47" i="14"/>
  <c r="H47" i="14"/>
  <c r="I29" i="23"/>
  <c r="AG73" i="2"/>
  <c r="I39" i="23"/>
  <c r="AF73" i="2"/>
  <c r="AE73" i="2"/>
  <c r="I48" i="23"/>
  <c r="AD73" i="2"/>
  <c r="D83" i="14"/>
  <c r="D84" i="14"/>
  <c r="D85" i="14"/>
  <c r="D86" i="14"/>
  <c r="D87" i="14"/>
  <c r="D88" i="14"/>
  <c r="D89" i="14"/>
  <c r="D90" i="14"/>
  <c r="I20" i="23"/>
  <c r="AD74" i="2"/>
  <c r="AC74" i="2"/>
  <c r="I49" i="23"/>
  <c r="AC73" i="2"/>
  <c r="BS38" i="2"/>
  <c r="BS133" i="2"/>
  <c r="BS186" i="2"/>
  <c r="BS66" i="2"/>
  <c r="M192" i="28"/>
  <c r="BS88" i="2"/>
  <c r="BS49" i="2"/>
  <c r="BS80" i="2"/>
  <c r="BS102" i="2"/>
  <c r="BS171" i="2"/>
  <c r="BS122" i="2"/>
  <c r="BS150" i="2"/>
  <c r="BS141" i="2"/>
  <c r="B4" i="29"/>
  <c r="BS90" i="2"/>
  <c r="BS104" i="2"/>
  <c r="BS68" i="2"/>
  <c r="BS188" i="2"/>
  <c r="BS190" i="2"/>
  <c r="BS192" i="2"/>
  <c r="D116" i="12"/>
  <c r="C77" i="11"/>
  <c r="G57" i="28"/>
  <c r="K57" i="28"/>
  <c r="BE57" i="21"/>
  <c r="G144" i="28"/>
  <c r="J144" i="28"/>
  <c r="G37" i="28"/>
  <c r="J37" i="28"/>
  <c r="E186" i="28"/>
  <c r="D186" i="28"/>
  <c r="C186" i="28"/>
  <c r="E171" i="28"/>
  <c r="D171" i="28"/>
  <c r="C171" i="28"/>
  <c r="E155" i="28"/>
  <c r="D155" i="28"/>
  <c r="C155" i="28"/>
  <c r="E150" i="28"/>
  <c r="D150" i="28"/>
  <c r="C150" i="28"/>
  <c r="E141" i="28"/>
  <c r="D141" i="28"/>
  <c r="C141" i="28"/>
  <c r="E133" i="28"/>
  <c r="D133" i="28"/>
  <c r="C133" i="28"/>
  <c r="E122" i="28"/>
  <c r="D122" i="28"/>
  <c r="C122" i="28"/>
  <c r="E102" i="28"/>
  <c r="D102" i="28"/>
  <c r="C102" i="28"/>
  <c r="E88" i="28"/>
  <c r="D88" i="28"/>
  <c r="C88" i="28"/>
  <c r="E80" i="28"/>
  <c r="E90" i="28"/>
  <c r="E104" i="28"/>
  <c r="D80" i="28"/>
  <c r="D90" i="28"/>
  <c r="D104" i="28"/>
  <c r="C80" i="28"/>
  <c r="E66" i="28"/>
  <c r="D66" i="28"/>
  <c r="C66" i="28"/>
  <c r="E49" i="28"/>
  <c r="D49" i="28"/>
  <c r="C49" i="28"/>
  <c r="E38" i="28"/>
  <c r="E68" i="28"/>
  <c r="D38" i="28"/>
  <c r="C38" i="28"/>
  <c r="G185" i="28"/>
  <c r="G184" i="28"/>
  <c r="G183" i="28"/>
  <c r="G182" i="28"/>
  <c r="G181" i="28"/>
  <c r="G180" i="28"/>
  <c r="G179" i="28"/>
  <c r="G178" i="28"/>
  <c r="G177" i="28"/>
  <c r="G176" i="28"/>
  <c r="G175" i="28"/>
  <c r="G170" i="28"/>
  <c r="G169" i="28"/>
  <c r="G168" i="28"/>
  <c r="G167" i="28"/>
  <c r="K167" i="28"/>
  <c r="BE167" i="21"/>
  <c r="G166" i="28"/>
  <c r="J166" i="28"/>
  <c r="G165" i="28"/>
  <c r="G164" i="28"/>
  <c r="G163" i="28"/>
  <c r="G162" i="28"/>
  <c r="K162" i="28"/>
  <c r="BE162" i="21"/>
  <c r="G161" i="28"/>
  <c r="G160" i="28"/>
  <c r="G159" i="28"/>
  <c r="G158" i="28"/>
  <c r="K158" i="28"/>
  <c r="G154" i="28"/>
  <c r="G149" i="28"/>
  <c r="G148" i="28"/>
  <c r="G147" i="28"/>
  <c r="J147" i="28"/>
  <c r="G146" i="28"/>
  <c r="G145" i="28"/>
  <c r="G140" i="28"/>
  <c r="G139" i="28"/>
  <c r="G138" i="28"/>
  <c r="G137" i="28"/>
  <c r="G132" i="28"/>
  <c r="K132" i="28"/>
  <c r="BE132" i="21"/>
  <c r="G131" i="28"/>
  <c r="G130" i="28"/>
  <c r="G129" i="28"/>
  <c r="J129" i="28"/>
  <c r="G128" i="28"/>
  <c r="G127" i="28"/>
  <c r="G126" i="28"/>
  <c r="G125" i="28"/>
  <c r="G121" i="28"/>
  <c r="K121" i="28"/>
  <c r="BE121" i="21"/>
  <c r="G120" i="28"/>
  <c r="G119" i="28"/>
  <c r="G118" i="28"/>
  <c r="G117" i="28"/>
  <c r="K117" i="28"/>
  <c r="BE117" i="21"/>
  <c r="G116" i="28"/>
  <c r="G115" i="28"/>
  <c r="G114" i="28"/>
  <c r="G113" i="28"/>
  <c r="K113" i="28"/>
  <c r="BE113" i="21"/>
  <c r="G112" i="28"/>
  <c r="J112" i="28"/>
  <c r="G111" i="28"/>
  <c r="G110" i="28"/>
  <c r="G109" i="28"/>
  <c r="K109" i="28"/>
  <c r="BE109" i="21"/>
  <c r="G108" i="28"/>
  <c r="G101" i="28"/>
  <c r="G100" i="28"/>
  <c r="G99" i="28"/>
  <c r="J99" i="28"/>
  <c r="G98" i="28"/>
  <c r="G97" i="28"/>
  <c r="G96" i="28"/>
  <c r="G95" i="28"/>
  <c r="J95" i="28"/>
  <c r="G94" i="28"/>
  <c r="G93" i="28"/>
  <c r="K93" i="28"/>
  <c r="G87" i="28"/>
  <c r="G86" i="28"/>
  <c r="G85" i="28"/>
  <c r="G84" i="28"/>
  <c r="G79" i="28"/>
  <c r="G78" i="28"/>
  <c r="J78" i="28"/>
  <c r="G77" i="28"/>
  <c r="G76" i="28"/>
  <c r="G75" i="28"/>
  <c r="G74" i="28"/>
  <c r="K74" i="28"/>
  <c r="BE74" i="21"/>
  <c r="G73" i="28"/>
  <c r="J73" i="28"/>
  <c r="G72" i="28"/>
  <c r="G65" i="28"/>
  <c r="K65" i="28"/>
  <c r="BE65" i="21"/>
  <c r="G64" i="28"/>
  <c r="J64" i="28"/>
  <c r="G63" i="28"/>
  <c r="G62" i="28"/>
  <c r="I62" i="28"/>
  <c r="BT62" i="2"/>
  <c r="G61" i="28"/>
  <c r="K61" i="28"/>
  <c r="BE61" i="21"/>
  <c r="G60" i="28"/>
  <c r="J60" i="28"/>
  <c r="G58" i="28"/>
  <c r="G56" i="28"/>
  <c r="J56" i="28"/>
  <c r="G55" i="28"/>
  <c r="G54" i="28"/>
  <c r="G53" i="28"/>
  <c r="K53" i="28"/>
  <c r="BE53" i="21"/>
  <c r="G48" i="28"/>
  <c r="G47" i="28"/>
  <c r="G46" i="28"/>
  <c r="G45" i="28"/>
  <c r="G44" i="28"/>
  <c r="G43" i="28"/>
  <c r="G42" i="28"/>
  <c r="G41" i="28"/>
  <c r="G14" i="28"/>
  <c r="J14" i="28"/>
  <c r="G15" i="28"/>
  <c r="G16" i="28"/>
  <c r="I16" i="28"/>
  <c r="BT16" i="2"/>
  <c r="G17" i="28"/>
  <c r="G18" i="28"/>
  <c r="J18" i="28"/>
  <c r="G19" i="28"/>
  <c r="G20" i="28"/>
  <c r="I20" i="28"/>
  <c r="BT20" i="2"/>
  <c r="G21" i="28"/>
  <c r="G22" i="28"/>
  <c r="J22" i="28"/>
  <c r="G23" i="28"/>
  <c r="G24" i="28"/>
  <c r="I24" i="28"/>
  <c r="BT24" i="2"/>
  <c r="G25" i="28"/>
  <c r="G26" i="28"/>
  <c r="J26" i="28"/>
  <c r="G27" i="28"/>
  <c r="G28" i="28"/>
  <c r="I28" i="28"/>
  <c r="BT28" i="2"/>
  <c r="G29" i="28"/>
  <c r="G30" i="28"/>
  <c r="J30" i="28"/>
  <c r="G31" i="28"/>
  <c r="G32" i="28"/>
  <c r="I32" i="28"/>
  <c r="BT32" i="2"/>
  <c r="G33" i="28"/>
  <c r="G34" i="28"/>
  <c r="J34" i="28"/>
  <c r="G35" i="28"/>
  <c r="G36" i="28"/>
  <c r="I36" i="28"/>
  <c r="BT36" i="2"/>
  <c r="G13" i="28"/>
  <c r="K13" i="28"/>
  <c r="B8" i="28"/>
  <c r="AP129" i="17"/>
  <c r="AP34" i="17"/>
  <c r="AP30" i="17"/>
  <c r="AP26" i="17"/>
  <c r="AP22" i="17"/>
  <c r="AP18" i="17"/>
  <c r="AP14" i="17"/>
  <c r="AP56" i="17"/>
  <c r="AP60" i="17"/>
  <c r="AP64" i="17"/>
  <c r="AP78" i="17"/>
  <c r="AP95" i="17"/>
  <c r="AP99" i="17"/>
  <c r="AP147" i="17"/>
  <c r="AP166" i="17"/>
  <c r="AP144" i="17"/>
  <c r="I183" i="28"/>
  <c r="BT183" i="2"/>
  <c r="AP37" i="17"/>
  <c r="AP73" i="17"/>
  <c r="AP112" i="17"/>
  <c r="J163" i="28"/>
  <c r="I65" i="28"/>
  <c r="BT65" i="2"/>
  <c r="I43" i="28"/>
  <c r="BT43" i="2"/>
  <c r="I55" i="28"/>
  <c r="BT55" i="2"/>
  <c r="I85" i="28"/>
  <c r="I98" i="28"/>
  <c r="BT98" i="2"/>
  <c r="I100" i="28"/>
  <c r="BT100" i="2"/>
  <c r="I44" i="28"/>
  <c r="BT44" i="2"/>
  <c r="I48" i="28"/>
  <c r="BT48" i="2"/>
  <c r="I86" i="28"/>
  <c r="I128" i="28"/>
  <c r="BT128" i="2"/>
  <c r="I140" i="28"/>
  <c r="BT140" i="2"/>
  <c r="I170" i="28"/>
  <c r="I178" i="28"/>
  <c r="BT178" i="2"/>
  <c r="I182" i="28"/>
  <c r="BT182" i="2"/>
  <c r="C68" i="28"/>
  <c r="D68" i="28"/>
  <c r="D188" i="28"/>
  <c r="C188" i="28"/>
  <c r="J21" i="28"/>
  <c r="I114" i="28"/>
  <c r="I37" i="28"/>
  <c r="BT37" i="2"/>
  <c r="I33" i="28"/>
  <c r="BT33" i="2"/>
  <c r="I29" i="28"/>
  <c r="BT29" i="2"/>
  <c r="I25" i="28"/>
  <c r="BT25" i="2"/>
  <c r="I21" i="28"/>
  <c r="BT21" i="2"/>
  <c r="I17" i="28"/>
  <c r="BT17" i="2"/>
  <c r="J41" i="28"/>
  <c r="J45" i="28"/>
  <c r="I75" i="28"/>
  <c r="I79" i="28"/>
  <c r="J87" i="28"/>
  <c r="I110" i="28"/>
  <c r="BT110" i="2"/>
  <c r="J114" i="28"/>
  <c r="I125" i="28"/>
  <c r="BT125" i="2"/>
  <c r="I129" i="28"/>
  <c r="BT129" i="2"/>
  <c r="J137" i="28"/>
  <c r="I159" i="28"/>
  <c r="BT159" i="2"/>
  <c r="I163" i="28"/>
  <c r="BT163" i="2"/>
  <c r="I167" i="28"/>
  <c r="BT167" i="2"/>
  <c r="J175" i="28"/>
  <c r="J179" i="28"/>
  <c r="J183" i="28"/>
  <c r="C90" i="28"/>
  <c r="C104" i="28"/>
  <c r="C190" i="28"/>
  <c r="C192" i="28"/>
  <c r="E188" i="28"/>
  <c r="E190" i="28"/>
  <c r="E192" i="28"/>
  <c r="K137" i="28"/>
  <c r="BE137" i="21"/>
  <c r="I47" i="28"/>
  <c r="BT47" i="2"/>
  <c r="I118" i="28"/>
  <c r="I179" i="28"/>
  <c r="BT179" i="2"/>
  <c r="D190" i="28"/>
  <c r="D192" i="28"/>
  <c r="K96" i="28"/>
  <c r="K100" i="28"/>
  <c r="BE100" i="21"/>
  <c r="K118" i="28"/>
  <c r="BE118" i="21"/>
  <c r="K144" i="28"/>
  <c r="K148" i="28"/>
  <c r="BE148" i="21"/>
  <c r="J33" i="28"/>
  <c r="J17" i="28"/>
  <c r="J53" i="28"/>
  <c r="K75" i="28"/>
  <c r="BE75" i="21"/>
  <c r="K110" i="28"/>
  <c r="BE110" i="21"/>
  <c r="J125" i="28"/>
  <c r="I148" i="28"/>
  <c r="BT148" i="2"/>
  <c r="K175" i="28"/>
  <c r="BE175" i="21"/>
  <c r="K29" i="28"/>
  <c r="BE29" i="21"/>
  <c r="K41" i="28"/>
  <c r="BE41" i="21"/>
  <c r="J57" i="28"/>
  <c r="K79" i="28"/>
  <c r="K159" i="28"/>
  <c r="BE159" i="21"/>
  <c r="K35" i="28"/>
  <c r="BE35" i="21"/>
  <c r="K31" i="28"/>
  <c r="BE31" i="21"/>
  <c r="K27" i="28"/>
  <c r="BE27" i="21"/>
  <c r="K23" i="28"/>
  <c r="BE23" i="21"/>
  <c r="K19" i="28"/>
  <c r="BE19" i="21"/>
  <c r="K15" i="28"/>
  <c r="BE15" i="21"/>
  <c r="K47" i="28"/>
  <c r="BE47" i="21"/>
  <c r="K77" i="28"/>
  <c r="BE77" i="21"/>
  <c r="K185" i="28"/>
  <c r="BE185" i="21"/>
  <c r="J25" i="28"/>
  <c r="I45" i="28"/>
  <c r="BT45" i="2"/>
  <c r="I61" i="28"/>
  <c r="BT61" i="2"/>
  <c r="I87" i="28"/>
  <c r="K114" i="28"/>
  <c r="BE114" i="21"/>
  <c r="J13" i="28"/>
  <c r="I34" i="28"/>
  <c r="BT34" i="2"/>
  <c r="I95" i="28"/>
  <c r="BT95" i="2"/>
  <c r="I109" i="28"/>
  <c r="I158" i="28"/>
  <c r="J182" i="28"/>
  <c r="K37" i="28"/>
  <c r="BE37" i="21"/>
  <c r="K33" i="28"/>
  <c r="BE33" i="21"/>
  <c r="J29" i="28"/>
  <c r="J23" i="28"/>
  <c r="I19" i="28"/>
  <c r="BT19" i="2"/>
  <c r="I14" i="28"/>
  <c r="BT14" i="2"/>
  <c r="K45" i="28"/>
  <c r="BE45" i="21"/>
  <c r="I57" i="28"/>
  <c r="BT57" i="2"/>
  <c r="J61" i="28"/>
  <c r="I77" i="28"/>
  <c r="K85" i="28"/>
  <c r="BE85" i="21"/>
  <c r="J96" i="28"/>
  <c r="J110" i="28"/>
  <c r="J118" i="28"/>
  <c r="K125" i="28"/>
  <c r="BE125" i="21"/>
  <c r="I132" i="28"/>
  <c r="BT132" i="2"/>
  <c r="J140" i="28"/>
  <c r="K147" i="28"/>
  <c r="J158" i="28"/>
  <c r="K163" i="28"/>
  <c r="BE163" i="21"/>
  <c r="J170" i="28"/>
  <c r="K178" i="28"/>
  <c r="BE178" i="21"/>
  <c r="K182" i="28"/>
  <c r="BE182" i="21"/>
  <c r="I26" i="28"/>
  <c r="BT26" i="2"/>
  <c r="I22" i="28"/>
  <c r="BT22" i="2"/>
  <c r="I18" i="28"/>
  <c r="I64" i="28"/>
  <c r="BT64" i="2"/>
  <c r="I74" i="28"/>
  <c r="BT74" i="2"/>
  <c r="K78" i="28"/>
  <c r="BE78" i="21"/>
  <c r="I121" i="28"/>
  <c r="J128" i="28"/>
  <c r="J132" i="28"/>
  <c r="K140" i="28"/>
  <c r="BE140" i="21"/>
  <c r="K166" i="28"/>
  <c r="BE166" i="21"/>
  <c r="K170" i="28"/>
  <c r="BE170" i="21"/>
  <c r="I35" i="28"/>
  <c r="BT35" i="2"/>
  <c r="I30" i="28"/>
  <c r="BT30" i="2"/>
  <c r="K25" i="28"/>
  <c r="BE25" i="21"/>
  <c r="K21" i="28"/>
  <c r="K17" i="28"/>
  <c r="BE17" i="21"/>
  <c r="J43" i="28"/>
  <c r="K48" i="28"/>
  <c r="BE48" i="21"/>
  <c r="K60" i="28"/>
  <c r="BE60" i="21"/>
  <c r="K64" i="28"/>
  <c r="BE64" i="21"/>
  <c r="J75" i="28"/>
  <c r="J79" i="28"/>
  <c r="K87" i="28"/>
  <c r="BE87" i="21"/>
  <c r="J100" i="28"/>
  <c r="K112" i="28"/>
  <c r="BE112" i="21"/>
  <c r="J117" i="28"/>
  <c r="J121" i="28"/>
  <c r="K128" i="28"/>
  <c r="I137" i="28"/>
  <c r="BT137" i="2"/>
  <c r="I144" i="28"/>
  <c r="BT144" i="2"/>
  <c r="J148" i="28"/>
  <c r="I162" i="28"/>
  <c r="BT162" i="2"/>
  <c r="J167" i="28"/>
  <c r="I175" i="28"/>
  <c r="K179" i="28"/>
  <c r="K42" i="28"/>
  <c r="BE42" i="21"/>
  <c r="J42" i="28"/>
  <c r="K46" i="28"/>
  <c r="BE46" i="21"/>
  <c r="J46" i="28"/>
  <c r="I46" i="28"/>
  <c r="BT46" i="2"/>
  <c r="K54" i="28"/>
  <c r="J54" i="28"/>
  <c r="J58" i="28"/>
  <c r="I58" i="28"/>
  <c r="BT58" i="2"/>
  <c r="J72" i="28"/>
  <c r="K72" i="28"/>
  <c r="J76" i="28"/>
  <c r="K76" i="28"/>
  <c r="BE76" i="21"/>
  <c r="I76" i="28"/>
  <c r="K84" i="28"/>
  <c r="J84" i="28"/>
  <c r="BE93" i="21"/>
  <c r="K97" i="28"/>
  <c r="BE97" i="21"/>
  <c r="J97" i="28"/>
  <c r="J101" i="28"/>
  <c r="I101" i="28"/>
  <c r="I111" i="28"/>
  <c r="K111" i="28"/>
  <c r="BE111" i="21"/>
  <c r="J111" i="28"/>
  <c r="I115" i="28"/>
  <c r="J115" i="28"/>
  <c r="I119" i="28"/>
  <c r="BT119" i="2"/>
  <c r="K119" i="28"/>
  <c r="BE119" i="21"/>
  <c r="J126" i="28"/>
  <c r="I126" i="28"/>
  <c r="BT126" i="2"/>
  <c r="J130" i="28"/>
  <c r="K130" i="28"/>
  <c r="K138" i="28"/>
  <c r="I138" i="28"/>
  <c r="BT138" i="2"/>
  <c r="J145" i="28"/>
  <c r="I145" i="28"/>
  <c r="BT145" i="2"/>
  <c r="I149" i="28"/>
  <c r="BT149" i="2"/>
  <c r="K149" i="28"/>
  <c r="J160" i="28"/>
  <c r="K160" i="28"/>
  <c r="I160" i="28"/>
  <c r="BT160" i="2"/>
  <c r="J164" i="28"/>
  <c r="K164" i="28"/>
  <c r="BE164" i="21"/>
  <c r="I164" i="28"/>
  <c r="BT164" i="2"/>
  <c r="J168" i="28"/>
  <c r="I168" i="28"/>
  <c r="BT168" i="2"/>
  <c r="K176" i="28"/>
  <c r="J176" i="28"/>
  <c r="I176" i="28"/>
  <c r="BT176" i="2"/>
  <c r="K180" i="28"/>
  <c r="BE180" i="21"/>
  <c r="I180" i="28"/>
  <c r="BT180" i="2"/>
  <c r="K184" i="28"/>
  <c r="BE184" i="21"/>
  <c r="J184" i="28"/>
  <c r="K32" i="28"/>
  <c r="BE32" i="21"/>
  <c r="J28" i="28"/>
  <c r="K16" i="28"/>
  <c r="BE16" i="21"/>
  <c r="K62" i="28"/>
  <c r="BE62" i="21"/>
  <c r="J93" i="28"/>
  <c r="I97" i="28"/>
  <c r="K115" i="28"/>
  <c r="BE115" i="21"/>
  <c r="J119" i="28"/>
  <c r="J138" i="28"/>
  <c r="I59" i="28"/>
  <c r="BT59" i="2"/>
  <c r="I63" i="28"/>
  <c r="BT63" i="2"/>
  <c r="K63" i="28"/>
  <c r="BE63" i="21"/>
  <c r="J63" i="28"/>
  <c r="K73" i="28"/>
  <c r="BE73" i="21"/>
  <c r="I73" i="28"/>
  <c r="I94" i="28"/>
  <c r="J94" i="28"/>
  <c r="J108" i="28"/>
  <c r="I108" i="28"/>
  <c r="J116" i="28"/>
  <c r="K116" i="28"/>
  <c r="BE116" i="21"/>
  <c r="I116" i="28"/>
  <c r="J120" i="28"/>
  <c r="K120" i="28"/>
  <c r="BE120" i="21"/>
  <c r="I120" i="28"/>
  <c r="K127" i="28"/>
  <c r="BE127" i="21"/>
  <c r="J127" i="28"/>
  <c r="I127" i="28"/>
  <c r="BT127" i="2"/>
  <c r="K131" i="28"/>
  <c r="J131" i="28"/>
  <c r="I131" i="28"/>
  <c r="BT131" i="2"/>
  <c r="K139" i="28"/>
  <c r="BE139" i="21"/>
  <c r="J139" i="28"/>
  <c r="I139" i="28"/>
  <c r="BT139" i="2"/>
  <c r="I146" i="28"/>
  <c r="BT146" i="2"/>
  <c r="K146" i="28"/>
  <c r="J146" i="28"/>
  <c r="G155" i="28"/>
  <c r="J154" i="28"/>
  <c r="N155" i="28"/>
  <c r="K154" i="28"/>
  <c r="K161" i="28"/>
  <c r="BE161" i="21"/>
  <c r="I161" i="28"/>
  <c r="BT161" i="2"/>
  <c r="K165" i="28"/>
  <c r="BE165" i="21"/>
  <c r="J165" i="28"/>
  <c r="K169" i="28"/>
  <c r="BE169" i="21"/>
  <c r="J169" i="28"/>
  <c r="I169" i="28"/>
  <c r="K177" i="28"/>
  <c r="BE177" i="21"/>
  <c r="J177" i="28"/>
  <c r="K181" i="28"/>
  <c r="BE181" i="21"/>
  <c r="J181" i="28"/>
  <c r="I181" i="28"/>
  <c r="BT181" i="2"/>
  <c r="J185" i="28"/>
  <c r="I185" i="28"/>
  <c r="BT185" i="2"/>
  <c r="K36" i="28"/>
  <c r="BE36" i="21"/>
  <c r="J32" i="28"/>
  <c r="J27" i="28"/>
  <c r="I23" i="28"/>
  <c r="BT23" i="2"/>
  <c r="K20" i="28"/>
  <c r="BE20" i="21"/>
  <c r="J16" i="28"/>
  <c r="K43" i="28"/>
  <c r="BE43" i="21"/>
  <c r="J47" i="28"/>
  <c r="I54" i="28"/>
  <c r="BT54" i="2"/>
  <c r="J77" i="28"/>
  <c r="K94" i="28"/>
  <c r="BE94" i="21"/>
  <c r="J98" i="28"/>
  <c r="K101" i="28"/>
  <c r="BE101" i="21"/>
  <c r="K145" i="28"/>
  <c r="BE145" i="21"/>
  <c r="J149" i="28"/>
  <c r="BE13" i="21"/>
  <c r="BE158" i="21"/>
  <c r="J36" i="28"/>
  <c r="J31" i="28"/>
  <c r="I27" i="28"/>
  <c r="BT27" i="2"/>
  <c r="K24" i="28"/>
  <c r="BE24" i="21"/>
  <c r="J20" i="28"/>
  <c r="J15" i="28"/>
  <c r="J55" i="28"/>
  <c r="K58" i="28"/>
  <c r="BE58" i="21"/>
  <c r="I84" i="28"/>
  <c r="K98" i="28"/>
  <c r="K126" i="28"/>
  <c r="I130" i="28"/>
  <c r="BT130" i="2"/>
  <c r="I154" i="28"/>
  <c r="J161" i="28"/>
  <c r="I165" i="28"/>
  <c r="K168" i="28"/>
  <c r="BE168" i="21"/>
  <c r="J35" i="28"/>
  <c r="I31" i="28"/>
  <c r="K28" i="28"/>
  <c r="BE28" i="21"/>
  <c r="J24" i="28"/>
  <c r="J19" i="28"/>
  <c r="I15" i="28"/>
  <c r="BT15" i="2"/>
  <c r="I42" i="28"/>
  <c r="K55" i="28"/>
  <c r="BE55" i="21"/>
  <c r="J59" i="28"/>
  <c r="J62" i="28"/>
  <c r="I72" i="28"/>
  <c r="J85" i="28"/>
  <c r="I93" i="28"/>
  <c r="K108" i="28"/>
  <c r="I112" i="28"/>
  <c r="I177" i="28"/>
  <c r="BT177" i="2"/>
  <c r="J180" i="28"/>
  <c r="I184" i="28"/>
  <c r="BT184" i="2"/>
  <c r="I13" i="28"/>
  <c r="K34" i="28"/>
  <c r="BE34" i="21"/>
  <c r="K30" i="28"/>
  <c r="BE30" i="21"/>
  <c r="K26" i="28"/>
  <c r="BE26" i="21"/>
  <c r="K22" i="28"/>
  <c r="BE22" i="21"/>
  <c r="K18" i="28"/>
  <c r="BE18" i="21"/>
  <c r="K14" i="28"/>
  <c r="BE14" i="21"/>
  <c r="J44" i="28"/>
  <c r="I56" i="28"/>
  <c r="BT56" i="2"/>
  <c r="J74" i="28"/>
  <c r="I78" i="28"/>
  <c r="J86" i="28"/>
  <c r="K95" i="28"/>
  <c r="I99" i="28"/>
  <c r="BT99" i="2"/>
  <c r="J109" i="28"/>
  <c r="I113" i="28"/>
  <c r="J162" i="28"/>
  <c r="I166" i="28"/>
  <c r="I41" i="28"/>
  <c r="K44" i="28"/>
  <c r="BE44" i="21"/>
  <c r="J48" i="28"/>
  <c r="I53" i="28"/>
  <c r="K56" i="28"/>
  <c r="BE56" i="21"/>
  <c r="I60" i="28"/>
  <c r="BT60" i="2"/>
  <c r="J65" i="28"/>
  <c r="K86" i="28"/>
  <c r="BE86" i="21"/>
  <c r="I96" i="28"/>
  <c r="K99" i="28"/>
  <c r="J113" i="28"/>
  <c r="I117" i="28"/>
  <c r="K129" i="28"/>
  <c r="I147" i="28"/>
  <c r="BT147" i="2"/>
  <c r="J159" i="28"/>
  <c r="J178" i="28"/>
  <c r="K183" i="28"/>
  <c r="G80" i="28"/>
  <c r="G88" i="28"/>
  <c r="G102" i="28"/>
  <c r="G122" i="28"/>
  <c r="G150" i="28"/>
  <c r="G171" i="28"/>
  <c r="G49" i="28"/>
  <c r="G66" i="28"/>
  <c r="G133" i="28"/>
  <c r="G141" i="28"/>
  <c r="G186" i="28"/>
  <c r="G38" i="28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B186" i="27"/>
  <c r="D185" i="27"/>
  <c r="D184" i="27"/>
  <c r="D183" i="27"/>
  <c r="D182" i="27"/>
  <c r="D181" i="27"/>
  <c r="D180" i="27"/>
  <c r="D179" i="27"/>
  <c r="D178" i="27"/>
  <c r="D177" i="27"/>
  <c r="D176" i="27"/>
  <c r="D175" i="27"/>
  <c r="D186" i="27"/>
  <c r="B171" i="27"/>
  <c r="C170" i="27"/>
  <c r="D170" i="27"/>
  <c r="C169" i="27"/>
  <c r="D169" i="27"/>
  <c r="C168" i="27"/>
  <c r="D168" i="27"/>
  <c r="C167" i="27"/>
  <c r="D167" i="27"/>
  <c r="C166" i="27"/>
  <c r="D166" i="27"/>
  <c r="C165" i="27"/>
  <c r="D165" i="27"/>
  <c r="C164" i="27"/>
  <c r="D164" i="27"/>
  <c r="C163" i="27"/>
  <c r="D163" i="27"/>
  <c r="C162" i="27"/>
  <c r="D162" i="27"/>
  <c r="C161" i="27"/>
  <c r="D161" i="27"/>
  <c r="C160" i="27"/>
  <c r="D160" i="27"/>
  <c r="C159" i="27"/>
  <c r="D159" i="27"/>
  <c r="C158" i="27"/>
  <c r="D158" i="27"/>
  <c r="D171" i="27"/>
  <c r="C154" i="27"/>
  <c r="C155" i="27"/>
  <c r="B155" i="27"/>
  <c r="D154" i="27"/>
  <c r="D155" i="27"/>
  <c r="B150" i="27"/>
  <c r="C149" i="27"/>
  <c r="D149" i="27"/>
  <c r="C148" i="27"/>
  <c r="D148" i="27"/>
  <c r="C147" i="27"/>
  <c r="D147" i="27"/>
  <c r="C146" i="27"/>
  <c r="D146" i="27"/>
  <c r="C145" i="27"/>
  <c r="D145" i="27"/>
  <c r="C144" i="27"/>
  <c r="C150" i="27"/>
  <c r="C137" i="27"/>
  <c r="C138" i="27"/>
  <c r="C139" i="27"/>
  <c r="C140" i="27"/>
  <c r="C141" i="27"/>
  <c r="B141" i="27"/>
  <c r="D140" i="27"/>
  <c r="D139" i="27"/>
  <c r="D138" i="27"/>
  <c r="D137" i="27"/>
  <c r="D141" i="27"/>
  <c r="B133" i="27"/>
  <c r="C132" i="27"/>
  <c r="D132" i="27"/>
  <c r="C131" i="27"/>
  <c r="D131" i="27"/>
  <c r="C130" i="27"/>
  <c r="D130" i="27"/>
  <c r="C129" i="27"/>
  <c r="D129" i="27"/>
  <c r="C128" i="27"/>
  <c r="D128" i="27"/>
  <c r="C127" i="27"/>
  <c r="D127" i="27"/>
  <c r="C126" i="27"/>
  <c r="D126" i="27"/>
  <c r="B121" i="27"/>
  <c r="B122" i="27"/>
  <c r="B188" i="27"/>
  <c r="C120" i="27"/>
  <c r="D120" i="27"/>
  <c r="C119" i="27"/>
  <c r="D119" i="27"/>
  <c r="C118" i="27"/>
  <c r="D118" i="27"/>
  <c r="C117" i="27"/>
  <c r="D117" i="27"/>
  <c r="C116" i="27"/>
  <c r="D116" i="27"/>
  <c r="C115" i="27"/>
  <c r="D115" i="27"/>
  <c r="C114" i="27"/>
  <c r="D114" i="27"/>
  <c r="C113" i="27"/>
  <c r="D113" i="27"/>
  <c r="C112" i="27"/>
  <c r="D112" i="27"/>
  <c r="C111" i="27"/>
  <c r="D111" i="27"/>
  <c r="C110" i="27"/>
  <c r="D110" i="27"/>
  <c r="C109" i="27"/>
  <c r="D109" i="27"/>
  <c r="C108" i="27"/>
  <c r="D108" i="27"/>
  <c r="B102" i="27"/>
  <c r="C101" i="27"/>
  <c r="D101" i="27"/>
  <c r="C100" i="27"/>
  <c r="D100" i="27"/>
  <c r="C99" i="27"/>
  <c r="D99" i="27"/>
  <c r="C98" i="27"/>
  <c r="D98" i="27"/>
  <c r="C97" i="27"/>
  <c r="D97" i="27"/>
  <c r="C96" i="27"/>
  <c r="D96" i="27"/>
  <c r="C95" i="27"/>
  <c r="D95" i="27"/>
  <c r="C94" i="27"/>
  <c r="D94" i="27"/>
  <c r="C93" i="27"/>
  <c r="D93" i="27"/>
  <c r="B88" i="27"/>
  <c r="C87" i="27"/>
  <c r="D87" i="27"/>
  <c r="C86" i="27"/>
  <c r="D86" i="27"/>
  <c r="C85" i="27"/>
  <c r="D85" i="27"/>
  <c r="C84" i="27"/>
  <c r="C88" i="27"/>
  <c r="C72" i="27"/>
  <c r="C73" i="27"/>
  <c r="C74" i="27"/>
  <c r="C75" i="27"/>
  <c r="C76" i="27"/>
  <c r="C77" i="27"/>
  <c r="C78" i="27"/>
  <c r="C79" i="27"/>
  <c r="C80" i="27"/>
  <c r="C90" i="27"/>
  <c r="B80" i="27"/>
  <c r="B90" i="27"/>
  <c r="B104" i="27"/>
  <c r="B190" i="27"/>
  <c r="D79" i="27"/>
  <c r="D78" i="27"/>
  <c r="D77" i="27"/>
  <c r="D76" i="27"/>
  <c r="D75" i="27"/>
  <c r="D74" i="27"/>
  <c r="D73" i="27"/>
  <c r="D72" i="27"/>
  <c r="D80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B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66" i="27"/>
  <c r="B49" i="27"/>
  <c r="C48" i="27"/>
  <c r="D48" i="27"/>
  <c r="C47" i="27"/>
  <c r="D47" i="27"/>
  <c r="C46" i="27"/>
  <c r="D46" i="27"/>
  <c r="C45" i="27"/>
  <c r="D45" i="27"/>
  <c r="C44" i="27"/>
  <c r="D44" i="27"/>
  <c r="C43" i="27"/>
  <c r="D43" i="27"/>
  <c r="C42" i="27"/>
  <c r="D42" i="27"/>
  <c r="C41" i="27"/>
  <c r="C49" i="27"/>
  <c r="C37" i="27"/>
  <c r="D37" i="27"/>
  <c r="C36" i="27"/>
  <c r="D36" i="27"/>
  <c r="C35" i="27"/>
  <c r="D35" i="27"/>
  <c r="C34" i="27"/>
  <c r="D34" i="27"/>
  <c r="C33" i="27"/>
  <c r="D33" i="27"/>
  <c r="C32" i="27"/>
  <c r="D32" i="27"/>
  <c r="C31" i="27"/>
  <c r="D31" i="27"/>
  <c r="C30" i="27"/>
  <c r="D30" i="27"/>
  <c r="C29" i="27"/>
  <c r="D29" i="27"/>
  <c r="C28" i="27"/>
  <c r="D28" i="27"/>
  <c r="C27" i="27"/>
  <c r="D27" i="27"/>
  <c r="C26" i="27"/>
  <c r="D26" i="27"/>
  <c r="C25" i="27"/>
  <c r="D25" i="27"/>
  <c r="C24" i="27"/>
  <c r="D24" i="27"/>
  <c r="C23" i="27"/>
  <c r="D23" i="27"/>
  <c r="C22" i="27"/>
  <c r="D22" i="27"/>
  <c r="C21" i="27"/>
  <c r="D21" i="27"/>
  <c r="C20" i="27"/>
  <c r="D20" i="27"/>
  <c r="C19" i="27"/>
  <c r="D19" i="27"/>
  <c r="C18" i="27"/>
  <c r="D18" i="27"/>
  <c r="C17" i="27"/>
  <c r="D17" i="27"/>
  <c r="C16" i="27"/>
  <c r="D16" i="27"/>
  <c r="C15" i="27"/>
  <c r="D15" i="27"/>
  <c r="B14" i="27"/>
  <c r="B38" i="27"/>
  <c r="A8" i="27"/>
  <c r="C120" i="21"/>
  <c r="AM84" i="21"/>
  <c r="AL84" i="21"/>
  <c r="AK84" i="21"/>
  <c r="AJ84" i="21"/>
  <c r="AI84" i="21"/>
  <c r="AH84" i="21"/>
  <c r="AG84" i="21"/>
  <c r="AE84" i="21"/>
  <c r="P84" i="21"/>
  <c r="Q84" i="21"/>
  <c r="R84" i="21"/>
  <c r="S84" i="21"/>
  <c r="T84" i="21"/>
  <c r="U84" i="21"/>
  <c r="V84" i="21"/>
  <c r="W84" i="21"/>
  <c r="X84" i="21"/>
  <c r="O84" i="21"/>
  <c r="K84" i="21"/>
  <c r="L84" i="21"/>
  <c r="M84" i="21"/>
  <c r="J84" i="21"/>
  <c r="AP178" i="17"/>
  <c r="AP74" i="17"/>
  <c r="AP85" i="17"/>
  <c r="AP24" i="17"/>
  <c r="AP181" i="17"/>
  <c r="AP127" i="17"/>
  <c r="AP120" i="17"/>
  <c r="AP119" i="17"/>
  <c r="AP184" i="17"/>
  <c r="AP168" i="17"/>
  <c r="AP126" i="17"/>
  <c r="AP100" i="17"/>
  <c r="AP132" i="17"/>
  <c r="AP96" i="17"/>
  <c r="AP23" i="17"/>
  <c r="AP182" i="17"/>
  <c r="AP33" i="17"/>
  <c r="AP175" i="17"/>
  <c r="AP137" i="17"/>
  <c r="AP45" i="17"/>
  <c r="AP163" i="17"/>
  <c r="AP159" i="17"/>
  <c r="AP113" i="17"/>
  <c r="AP65" i="17"/>
  <c r="AP48" i="17"/>
  <c r="AP162" i="17"/>
  <c r="AP55" i="17"/>
  <c r="AP98" i="17"/>
  <c r="AP47" i="17"/>
  <c r="AP169" i="17"/>
  <c r="AP131" i="17"/>
  <c r="AP111" i="17"/>
  <c r="AP101" i="17"/>
  <c r="AP76" i="17"/>
  <c r="AP58" i="17"/>
  <c r="AP46" i="17"/>
  <c r="AP148" i="17"/>
  <c r="AP121" i="17"/>
  <c r="AP128" i="17"/>
  <c r="AP158" i="17"/>
  <c r="AP29" i="17"/>
  <c r="AP13" i="17"/>
  <c r="AP87" i="17"/>
  <c r="AP41" i="17"/>
  <c r="N49" i="28"/>
  <c r="AP21" i="17"/>
  <c r="AP86" i="17"/>
  <c r="N88" i="28"/>
  <c r="AP44" i="17"/>
  <c r="AP62" i="17"/>
  <c r="AP161" i="17"/>
  <c r="AP31" i="17"/>
  <c r="AP149" i="17"/>
  <c r="AP27" i="17"/>
  <c r="AP185" i="17"/>
  <c r="AP177" i="17"/>
  <c r="AP146" i="17"/>
  <c r="AP139" i="17"/>
  <c r="AP94" i="17"/>
  <c r="AP63" i="17"/>
  <c r="AP28" i="17"/>
  <c r="AP160" i="17"/>
  <c r="AP145" i="17"/>
  <c r="N150" i="28"/>
  <c r="AP130" i="17"/>
  <c r="AP97" i="17"/>
  <c r="AP54" i="17"/>
  <c r="AP117" i="17"/>
  <c r="AP79" i="17"/>
  <c r="AP118" i="17"/>
  <c r="AP25" i="17"/>
  <c r="AP57" i="17"/>
  <c r="AP53" i="17"/>
  <c r="AP183" i="17"/>
  <c r="AP109" i="17"/>
  <c r="N122" i="28"/>
  <c r="AP180" i="17"/>
  <c r="AP59" i="17"/>
  <c r="AP19" i="17"/>
  <c r="AP35" i="17"/>
  <c r="AP20" i="17"/>
  <c r="AP36" i="17"/>
  <c r="AP77" i="17"/>
  <c r="AP16" i="17"/>
  <c r="AP32" i="17"/>
  <c r="AP165" i="17"/>
  <c r="AP164" i="17"/>
  <c r="AP167" i="17"/>
  <c r="AP170" i="17"/>
  <c r="AP171" i="17"/>
  <c r="AP116" i="17"/>
  <c r="AP138" i="17"/>
  <c r="N102" i="28"/>
  <c r="AP115" i="17"/>
  <c r="AP42" i="17"/>
  <c r="AP43" i="17"/>
  <c r="AP49" i="17"/>
  <c r="AP75" i="17"/>
  <c r="AP140" i="17"/>
  <c r="AP110" i="17"/>
  <c r="AP61" i="17"/>
  <c r="AP125" i="17"/>
  <c r="AP133" i="17"/>
  <c r="AP17" i="17"/>
  <c r="AP179" i="17"/>
  <c r="AP114" i="17"/>
  <c r="G68" i="28"/>
  <c r="J141" i="28"/>
  <c r="J133" i="28"/>
  <c r="J49" i="28"/>
  <c r="BE49" i="21"/>
  <c r="AP150" i="17"/>
  <c r="AP66" i="17"/>
  <c r="BT133" i="2"/>
  <c r="BT141" i="2"/>
  <c r="G104" i="28"/>
  <c r="G90" i="28"/>
  <c r="I150" i="28"/>
  <c r="I102" i="28"/>
  <c r="I88" i="28"/>
  <c r="AP15" i="17"/>
  <c r="J38" i="28"/>
  <c r="J66" i="28"/>
  <c r="K155" i="28"/>
  <c r="BE154" i="21"/>
  <c r="BE155" i="21"/>
  <c r="AP93" i="17"/>
  <c r="AP102" i="17"/>
  <c r="J102" i="28"/>
  <c r="J88" i="28"/>
  <c r="AP84" i="17"/>
  <c r="AP88" i="17"/>
  <c r="I49" i="28"/>
  <c r="K186" i="28"/>
  <c r="J150" i="28"/>
  <c r="I171" i="28"/>
  <c r="K141" i="28"/>
  <c r="BE126" i="21"/>
  <c r="K133" i="28"/>
  <c r="K38" i="28"/>
  <c r="I186" i="28"/>
  <c r="J155" i="28"/>
  <c r="AP154" i="17"/>
  <c r="AP155" i="17"/>
  <c r="I122" i="28"/>
  <c r="BE84" i="21"/>
  <c r="BE88" i="21"/>
  <c r="K88" i="28"/>
  <c r="K80" i="28"/>
  <c r="BT53" i="2"/>
  <c r="BT66" i="2"/>
  <c r="I66" i="28"/>
  <c r="J171" i="28"/>
  <c r="I141" i="28"/>
  <c r="I38" i="28"/>
  <c r="BT72" i="2"/>
  <c r="I80" i="28"/>
  <c r="BT154" i="2"/>
  <c r="BT155" i="2"/>
  <c r="I155" i="28"/>
  <c r="AP108" i="17"/>
  <c r="J122" i="28"/>
  <c r="BE141" i="21"/>
  <c r="J80" i="28"/>
  <c r="AP72" i="17"/>
  <c r="BE54" i="21"/>
  <c r="BE66" i="21"/>
  <c r="K66" i="28"/>
  <c r="K150" i="28"/>
  <c r="I133" i="28"/>
  <c r="BT150" i="2"/>
  <c r="BE108" i="21"/>
  <c r="BE122" i="21"/>
  <c r="K122" i="28"/>
  <c r="K49" i="28"/>
  <c r="K171" i="28"/>
  <c r="AP176" i="17"/>
  <c r="AP186" i="17"/>
  <c r="J186" i="28"/>
  <c r="K102" i="28"/>
  <c r="G188" i="28"/>
  <c r="C102" i="27"/>
  <c r="C104" i="27"/>
  <c r="B68" i="27"/>
  <c r="B192" i="27"/>
  <c r="D102" i="27"/>
  <c r="D133" i="27"/>
  <c r="C121" i="27"/>
  <c r="C122" i="27"/>
  <c r="D84" i="27"/>
  <c r="D88" i="27"/>
  <c r="D90" i="27"/>
  <c r="D104" i="27"/>
  <c r="D121" i="27"/>
  <c r="D122" i="27"/>
  <c r="D144" i="27"/>
  <c r="D150" i="27"/>
  <c r="D188" i="27"/>
  <c r="D190" i="27"/>
  <c r="C133" i="27"/>
  <c r="C171" i="27"/>
  <c r="C14" i="27"/>
  <c r="D41" i="27"/>
  <c r="D49" i="27"/>
  <c r="AP122" i="17"/>
  <c r="AP38" i="17"/>
  <c r="N186" i="28"/>
  <c r="N80" i="28"/>
  <c r="N66" i="28"/>
  <c r="N38" i="28"/>
  <c r="N171" i="28"/>
  <c r="N141" i="28"/>
  <c r="AP80" i="17"/>
  <c r="AP90" i="17"/>
  <c r="N133" i="28"/>
  <c r="AP141" i="17"/>
  <c r="G190" i="28"/>
  <c r="G192" i="28"/>
  <c r="K188" i="28"/>
  <c r="AP68" i="17"/>
  <c r="J90" i="28"/>
  <c r="J104" i="28"/>
  <c r="AP188" i="17"/>
  <c r="I104" i="28"/>
  <c r="I90" i="28"/>
  <c r="K104" i="28"/>
  <c r="K190" i="28"/>
  <c r="K90" i="28"/>
  <c r="I188" i="28"/>
  <c r="K68" i="28"/>
  <c r="AP104" i="17"/>
  <c r="J188" i="28"/>
  <c r="I68" i="28"/>
  <c r="J68" i="28"/>
  <c r="C188" i="27"/>
  <c r="C190" i="27"/>
  <c r="C38" i="27"/>
  <c r="C68" i="27"/>
  <c r="D14" i="27"/>
  <c r="D38" i="27"/>
  <c r="D68" i="27"/>
  <c r="D192" i="27"/>
  <c r="N68" i="28"/>
  <c r="N188" i="28"/>
  <c r="N90" i="28"/>
  <c r="N104" i="28"/>
  <c r="J190" i="28"/>
  <c r="J192" i="28"/>
  <c r="I190" i="28"/>
  <c r="I192" i="28"/>
  <c r="AP190" i="17"/>
  <c r="AP192" i="17"/>
  <c r="K192" i="28"/>
  <c r="C192" i="27"/>
  <c r="N190" i="28"/>
  <c r="N192" i="28"/>
  <c r="F41" i="14"/>
  <c r="H41" i="14"/>
  <c r="L41" i="14"/>
  <c r="F42" i="14"/>
  <c r="H42" i="14"/>
  <c r="L42" i="14"/>
  <c r="F43" i="14"/>
  <c r="H43" i="14"/>
  <c r="L43" i="14"/>
  <c r="F44" i="14"/>
  <c r="H44" i="14"/>
  <c r="L44" i="14"/>
  <c r="F45" i="14"/>
  <c r="H45" i="14"/>
  <c r="L45" i="14"/>
  <c r="F46" i="14"/>
  <c r="H46" i="14"/>
  <c r="L46" i="14"/>
  <c r="L47" i="14"/>
  <c r="F48" i="14"/>
  <c r="H48" i="14"/>
  <c r="L48" i="14"/>
  <c r="H49" i="14"/>
  <c r="L49" i="14"/>
  <c r="D50" i="14"/>
  <c r="F50" i="14"/>
  <c r="H50" i="14"/>
  <c r="L50" i="14"/>
  <c r="D51" i="14"/>
  <c r="F51" i="14"/>
  <c r="H51" i="14"/>
  <c r="L51" i="14"/>
  <c r="D52" i="14"/>
  <c r="F52" i="14"/>
  <c r="H52" i="14"/>
  <c r="L52" i="14"/>
  <c r="D53" i="14"/>
  <c r="F53" i="14"/>
  <c r="H53" i="14"/>
  <c r="L53" i="14"/>
  <c r="D54" i="14"/>
  <c r="F54" i="14"/>
  <c r="H54" i="14"/>
  <c r="L54" i="14"/>
  <c r="D55" i="14"/>
  <c r="F55" i="14"/>
  <c r="H55" i="14"/>
  <c r="L55" i="14"/>
  <c r="D56" i="14"/>
  <c r="F56" i="14"/>
  <c r="H56" i="14"/>
  <c r="L56" i="14"/>
  <c r="D57" i="14"/>
  <c r="F57" i="14"/>
  <c r="H57" i="14"/>
  <c r="L57" i="14"/>
  <c r="D58" i="14"/>
  <c r="F58" i="14"/>
  <c r="H58" i="14"/>
  <c r="L58" i="14"/>
  <c r="D59" i="14"/>
  <c r="F59" i="14"/>
  <c r="H59" i="14"/>
  <c r="L59" i="14"/>
  <c r="F40" i="14"/>
  <c r="H40" i="14"/>
  <c r="L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40" i="14"/>
  <c r="J59" i="14"/>
  <c r="M59" i="14"/>
  <c r="J41" i="14"/>
  <c r="M41" i="14"/>
  <c r="J42" i="14"/>
  <c r="M42" i="14"/>
  <c r="J43" i="14"/>
  <c r="M43" i="14"/>
  <c r="J44" i="14"/>
  <c r="M44" i="14"/>
  <c r="J45" i="14"/>
  <c r="M45" i="14"/>
  <c r="J46" i="14"/>
  <c r="M46" i="14"/>
  <c r="J47" i="14"/>
  <c r="M47" i="14"/>
  <c r="J48" i="14"/>
  <c r="M48" i="14"/>
  <c r="J49" i="14"/>
  <c r="M49" i="14"/>
  <c r="J50" i="14"/>
  <c r="M50" i="14"/>
  <c r="J51" i="14"/>
  <c r="M51" i="14"/>
  <c r="J52" i="14"/>
  <c r="M52" i="14"/>
  <c r="J53" i="14"/>
  <c r="M53" i="14"/>
  <c r="J54" i="14"/>
  <c r="M54" i="14"/>
  <c r="J55" i="14"/>
  <c r="M55" i="14"/>
  <c r="J56" i="14"/>
  <c r="M56" i="14"/>
  <c r="J57" i="14"/>
  <c r="M57" i="14"/>
  <c r="J58" i="14"/>
  <c r="M58" i="14"/>
  <c r="J40" i="14"/>
  <c r="M40" i="14"/>
  <c r="M176" i="1"/>
  <c r="M121" i="1"/>
  <c r="M35" i="1"/>
  <c r="M14" i="1"/>
  <c r="J121" i="1"/>
  <c r="J14" i="1"/>
  <c r="G175" i="1"/>
  <c r="G130" i="1"/>
  <c r="G110" i="1"/>
  <c r="G14" i="1"/>
  <c r="D175" i="1"/>
  <c r="D159" i="1"/>
  <c r="D130" i="1"/>
  <c r="D14" i="1"/>
  <c r="D41" i="12"/>
  <c r="F41" i="12"/>
  <c r="F42" i="12"/>
  <c r="F43" i="12"/>
  <c r="F44" i="12"/>
  <c r="F45" i="12"/>
  <c r="F46" i="12"/>
  <c r="F47" i="12"/>
  <c r="F48" i="12"/>
  <c r="C77" i="26"/>
  <c r="D4" i="13"/>
  <c r="D5" i="13"/>
  <c r="D6" i="13"/>
  <c r="D7" i="13"/>
  <c r="D8" i="13"/>
  <c r="D9" i="13"/>
  <c r="D10" i="13"/>
  <c r="D11" i="13"/>
  <c r="D12" i="13"/>
  <c r="D13" i="13"/>
  <c r="D14" i="13"/>
  <c r="C72" i="26"/>
  <c r="B4" i="21"/>
  <c r="B2" i="21"/>
  <c r="B8" i="26"/>
  <c r="B8" i="3"/>
  <c r="B8" i="4"/>
  <c r="B8" i="5"/>
  <c r="B8" i="6"/>
  <c r="B8" i="8"/>
  <c r="B8" i="10"/>
  <c r="B8" i="22"/>
  <c r="B8" i="11"/>
  <c r="AX38" i="21"/>
  <c r="AX49" i="21"/>
  <c r="AX175" i="21"/>
  <c r="AI38" i="17"/>
  <c r="AI49" i="17"/>
  <c r="AI175" i="17"/>
  <c r="AJ13" i="17"/>
  <c r="AY185" i="21"/>
  <c r="AY184" i="21"/>
  <c r="AY183" i="21"/>
  <c r="AY182" i="21"/>
  <c r="AY181" i="21"/>
  <c r="AY170" i="21"/>
  <c r="AY169" i="21"/>
  <c r="AY168" i="21"/>
  <c r="AY167" i="21"/>
  <c r="AY163" i="21"/>
  <c r="AY162" i="21"/>
  <c r="AY161" i="21"/>
  <c r="AY160" i="21"/>
  <c r="AY159" i="21"/>
  <c r="AY154" i="21"/>
  <c r="AY149" i="21"/>
  <c r="AY148" i="21"/>
  <c r="AY147" i="21"/>
  <c r="AY146" i="21"/>
  <c r="AY145" i="21"/>
  <c r="AY144" i="21"/>
  <c r="AY140" i="21"/>
  <c r="AY139" i="21"/>
  <c r="AY138" i="21"/>
  <c r="AY137" i="21"/>
  <c r="AY132" i="21"/>
  <c r="AY131" i="21"/>
  <c r="AY130" i="21"/>
  <c r="AY129" i="21"/>
  <c r="AY128" i="21"/>
  <c r="AY127" i="21"/>
  <c r="AY126" i="21"/>
  <c r="AY125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0" i="21"/>
  <c r="AY87" i="21"/>
  <c r="AY86" i="21"/>
  <c r="AY79" i="21"/>
  <c r="AY77" i="21"/>
  <c r="AY76" i="21"/>
  <c r="AY75" i="21"/>
  <c r="AY74" i="21"/>
  <c r="AY73" i="21"/>
  <c r="AY72" i="21"/>
  <c r="AY65" i="21"/>
  <c r="AY64" i="21"/>
  <c r="AY63" i="21"/>
  <c r="AY62" i="21"/>
  <c r="AY61" i="21"/>
  <c r="AY60" i="21"/>
  <c r="AY59" i="21"/>
  <c r="AY58" i="21"/>
  <c r="AY56" i="21"/>
  <c r="AY55" i="21"/>
  <c r="AY54" i="21"/>
  <c r="AY53" i="21"/>
  <c r="AY48" i="21"/>
  <c r="AY47" i="21"/>
  <c r="AY46" i="21"/>
  <c r="AY45" i="21"/>
  <c r="AY44" i="21"/>
  <c r="AY43" i="21"/>
  <c r="AY42" i="21"/>
  <c r="AY41" i="21"/>
  <c r="AY14" i="21"/>
  <c r="AY15" i="21"/>
  <c r="AY17" i="21"/>
  <c r="AY18" i="21"/>
  <c r="AY19" i="21"/>
  <c r="AY20" i="21"/>
  <c r="AY21" i="21"/>
  <c r="AY22" i="21"/>
  <c r="AY23" i="21"/>
  <c r="AY24" i="21"/>
  <c r="AY25" i="21"/>
  <c r="AY26" i="21"/>
  <c r="AY27" i="21"/>
  <c r="AY28" i="21"/>
  <c r="AY29" i="21"/>
  <c r="AY30" i="21"/>
  <c r="AY31" i="21"/>
  <c r="AY32" i="21"/>
  <c r="AY33" i="21"/>
  <c r="AY34" i="21"/>
  <c r="AY35" i="21"/>
  <c r="AY36" i="21"/>
  <c r="AY37" i="21"/>
  <c r="AY13" i="21"/>
  <c r="BN185" i="2"/>
  <c r="BN184" i="2"/>
  <c r="BN183" i="2"/>
  <c r="BN182" i="2"/>
  <c r="BN181" i="2"/>
  <c r="BN180" i="2"/>
  <c r="BN179" i="2"/>
  <c r="BN178" i="2"/>
  <c r="BN177" i="2"/>
  <c r="BN176" i="2"/>
  <c r="BN170" i="2"/>
  <c r="BN169" i="2"/>
  <c r="BN168" i="2"/>
  <c r="BN167" i="2"/>
  <c r="BN163" i="2"/>
  <c r="BN162" i="2"/>
  <c r="BN161" i="2"/>
  <c r="BN160" i="2"/>
  <c r="BN159" i="2"/>
  <c r="BN154" i="2"/>
  <c r="BN149" i="2"/>
  <c r="BN148" i="2"/>
  <c r="BN147" i="2"/>
  <c r="BN146" i="2"/>
  <c r="BN145" i="2"/>
  <c r="BN144" i="2"/>
  <c r="BN140" i="2"/>
  <c r="BN139" i="2"/>
  <c r="BN138" i="2"/>
  <c r="BN137" i="2"/>
  <c r="BN132" i="2"/>
  <c r="BN131" i="2"/>
  <c r="BN130" i="2"/>
  <c r="BN129" i="2"/>
  <c r="BN128" i="2"/>
  <c r="BN127" i="2"/>
  <c r="BN126" i="2"/>
  <c r="BN125" i="2"/>
  <c r="BN121" i="2"/>
  <c r="BN120" i="2"/>
  <c r="BN119" i="2"/>
  <c r="BN118" i="2"/>
  <c r="BN117" i="2"/>
  <c r="BN116" i="2"/>
  <c r="BN115" i="2"/>
  <c r="BN114" i="2"/>
  <c r="BN113" i="2"/>
  <c r="BN112" i="2"/>
  <c r="BN111" i="2"/>
  <c r="BN110" i="2"/>
  <c r="BN109" i="2"/>
  <c r="BN108" i="2"/>
  <c r="BN100" i="2"/>
  <c r="BN87" i="2"/>
  <c r="BN86" i="2"/>
  <c r="BN79" i="2"/>
  <c r="BN78" i="2"/>
  <c r="BN77" i="2"/>
  <c r="BN76" i="2"/>
  <c r="BN75" i="2"/>
  <c r="BN74" i="2"/>
  <c r="BN73" i="2"/>
  <c r="BN72" i="2"/>
  <c r="BN65" i="2"/>
  <c r="BN64" i="2"/>
  <c r="BN63" i="2"/>
  <c r="BN62" i="2"/>
  <c r="BN61" i="2"/>
  <c r="BN60" i="2"/>
  <c r="BN59" i="2"/>
  <c r="BN58" i="2"/>
  <c r="BN56" i="2"/>
  <c r="BN55" i="2"/>
  <c r="BN54" i="2"/>
  <c r="BN53" i="2"/>
  <c r="BN48" i="2"/>
  <c r="BN47" i="2"/>
  <c r="BN46" i="2"/>
  <c r="BN45" i="2"/>
  <c r="BN44" i="2"/>
  <c r="BN43" i="2"/>
  <c r="BN42" i="2"/>
  <c r="BN41" i="2"/>
  <c r="BN14" i="2"/>
  <c r="BN15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13" i="2"/>
  <c r="D42" i="12"/>
  <c r="D43" i="12"/>
  <c r="D44" i="12"/>
  <c r="D45" i="12"/>
  <c r="D46" i="12"/>
  <c r="I77" i="23"/>
  <c r="F76" i="7"/>
  <c r="C80" i="22"/>
  <c r="D140" i="12"/>
  <c r="D141" i="12"/>
  <c r="D142" i="12"/>
  <c r="D143" i="12"/>
  <c r="D144" i="12"/>
  <c r="D145" i="12"/>
  <c r="D146" i="12"/>
  <c r="D147" i="12"/>
  <c r="D148" i="12"/>
  <c r="D149" i="12"/>
  <c r="D150" i="12"/>
  <c r="I80" i="23"/>
  <c r="D72" i="22"/>
  <c r="D77" i="22"/>
  <c r="D80" i="22"/>
  <c r="D88" i="22"/>
  <c r="D90" i="22"/>
  <c r="D93" i="22"/>
  <c r="D94" i="22"/>
  <c r="D95" i="22"/>
  <c r="D96" i="22"/>
  <c r="D97" i="22"/>
  <c r="D98" i="22"/>
  <c r="D99" i="22"/>
  <c r="D101" i="22"/>
  <c r="D102" i="22"/>
  <c r="D104" i="22"/>
  <c r="D122" i="22"/>
  <c r="D133" i="22"/>
  <c r="D141" i="22"/>
  <c r="D146" i="22"/>
  <c r="D150" i="22"/>
  <c r="D155" i="22"/>
  <c r="D171" i="22"/>
  <c r="D186" i="22"/>
  <c r="D189" i="22"/>
  <c r="D191" i="22"/>
  <c r="C38" i="22"/>
  <c r="C49" i="22"/>
  <c r="C66" i="22"/>
  <c r="C68" i="22"/>
  <c r="C86" i="22"/>
  <c r="C88" i="22"/>
  <c r="C93" i="22"/>
  <c r="P93" i="26"/>
  <c r="C94" i="22"/>
  <c r="P94" i="26"/>
  <c r="C99" i="22"/>
  <c r="C110" i="22"/>
  <c r="C122" i="22"/>
  <c r="C133" i="22"/>
  <c r="C141" i="22"/>
  <c r="C148" i="22"/>
  <c r="C150" i="22"/>
  <c r="C155" i="22"/>
  <c r="C171" i="22"/>
  <c r="C186" i="22"/>
  <c r="F131" i="8"/>
  <c r="AX186" i="21"/>
  <c r="AX171" i="21"/>
  <c r="AX155" i="21"/>
  <c r="AX150" i="21"/>
  <c r="AX141" i="21"/>
  <c r="AX133" i="21"/>
  <c r="AX122" i="21"/>
  <c r="AX102" i="21"/>
  <c r="AX88" i="21"/>
  <c r="AX80" i="21"/>
  <c r="AX90" i="21"/>
  <c r="AX104" i="21"/>
  <c r="AX66" i="21"/>
  <c r="AX68" i="21"/>
  <c r="AI186" i="17"/>
  <c r="AI171" i="17"/>
  <c r="AI155" i="17"/>
  <c r="AI150" i="17"/>
  <c r="AI141" i="17"/>
  <c r="AI133" i="17"/>
  <c r="AI122" i="17"/>
  <c r="AI102" i="17"/>
  <c r="AI88" i="17"/>
  <c r="AI80" i="17"/>
  <c r="AI90" i="17"/>
  <c r="AI104" i="17"/>
  <c r="AI66" i="17"/>
  <c r="AI68" i="17"/>
  <c r="R108" i="26"/>
  <c r="D65" i="12"/>
  <c r="F55" i="12"/>
  <c r="F56" i="12"/>
  <c r="F57" i="12"/>
  <c r="F58" i="12"/>
  <c r="F59" i="12"/>
  <c r="F60" i="12"/>
  <c r="F61" i="12"/>
  <c r="F62" i="12"/>
  <c r="F63" i="12"/>
  <c r="F64" i="12"/>
  <c r="F65" i="12"/>
  <c r="H65" i="12"/>
  <c r="J65" i="12"/>
  <c r="D66" i="12"/>
  <c r="F66" i="12"/>
  <c r="H66" i="12"/>
  <c r="J66" i="12"/>
  <c r="D67" i="12"/>
  <c r="F67" i="12"/>
  <c r="H67" i="12"/>
  <c r="J67" i="12"/>
  <c r="D68" i="12"/>
  <c r="F68" i="12"/>
  <c r="H68" i="12"/>
  <c r="J68" i="12"/>
  <c r="D69" i="12"/>
  <c r="F69" i="12"/>
  <c r="H69" i="12"/>
  <c r="J69" i="12"/>
  <c r="D70" i="12"/>
  <c r="F70" i="12"/>
  <c r="H70" i="12"/>
  <c r="J70" i="12"/>
  <c r="D71" i="12"/>
  <c r="F71" i="12"/>
  <c r="H71" i="12"/>
  <c r="J71" i="12"/>
  <c r="D72" i="12"/>
  <c r="F72" i="12"/>
  <c r="H72" i="12"/>
  <c r="J72" i="12"/>
  <c r="D73" i="12"/>
  <c r="F73" i="12"/>
  <c r="H73" i="12"/>
  <c r="J73" i="12"/>
  <c r="D74" i="12"/>
  <c r="F74" i="12"/>
  <c r="H74" i="12"/>
  <c r="J74" i="12"/>
  <c r="D75" i="12"/>
  <c r="F75" i="12"/>
  <c r="H75" i="12"/>
  <c r="J75" i="12"/>
  <c r="D76" i="12"/>
  <c r="F76" i="12"/>
  <c r="H76" i="12"/>
  <c r="J76" i="12"/>
  <c r="R183" i="26"/>
  <c r="R182" i="26"/>
  <c r="R181" i="26"/>
  <c r="R180" i="26"/>
  <c r="R179" i="26"/>
  <c r="R178" i="26"/>
  <c r="R177" i="26"/>
  <c r="R176" i="26"/>
  <c r="R175" i="26"/>
  <c r="R170" i="26"/>
  <c r="R169" i="26"/>
  <c r="R168" i="26"/>
  <c r="R167" i="26"/>
  <c r="R166" i="26"/>
  <c r="R165" i="26"/>
  <c r="R164" i="26"/>
  <c r="R163" i="26"/>
  <c r="R162" i="26"/>
  <c r="R160" i="26"/>
  <c r="R159" i="26"/>
  <c r="R158" i="26"/>
  <c r="R148" i="26"/>
  <c r="R147" i="26"/>
  <c r="R146" i="26"/>
  <c r="R145" i="26"/>
  <c r="R144" i="26"/>
  <c r="R140" i="26"/>
  <c r="R139" i="26"/>
  <c r="R138" i="26"/>
  <c r="R137" i="26"/>
  <c r="R132" i="26"/>
  <c r="R131" i="26"/>
  <c r="R130" i="26"/>
  <c r="R129" i="26"/>
  <c r="R128" i="26"/>
  <c r="R127" i="26"/>
  <c r="R126" i="26"/>
  <c r="R125" i="26"/>
  <c r="R121" i="26"/>
  <c r="R120" i="26"/>
  <c r="R119" i="26"/>
  <c r="R118" i="26"/>
  <c r="R117" i="26"/>
  <c r="R116" i="26"/>
  <c r="R115" i="26"/>
  <c r="R114" i="26"/>
  <c r="R113" i="26"/>
  <c r="R112" i="26"/>
  <c r="R111" i="26"/>
  <c r="R109" i="26"/>
  <c r="R100" i="26"/>
  <c r="R87" i="26"/>
  <c r="R86" i="26"/>
  <c r="R85" i="26"/>
  <c r="R84" i="26"/>
  <c r="R83" i="26"/>
  <c r="R79" i="26"/>
  <c r="R78" i="26"/>
  <c r="R77" i="26"/>
  <c r="R75" i="26"/>
  <c r="R74" i="26"/>
  <c r="R73" i="26"/>
  <c r="R72" i="26"/>
  <c r="R10" i="26"/>
  <c r="R9" i="26"/>
  <c r="R8" i="26"/>
  <c r="R7" i="26"/>
  <c r="Q185" i="26"/>
  <c r="Q183" i="26"/>
  <c r="Q182" i="26"/>
  <c r="Q181" i="26"/>
  <c r="Q180" i="26"/>
  <c r="Q179" i="26"/>
  <c r="Q178" i="26"/>
  <c r="Q177" i="26"/>
  <c r="Q176" i="26"/>
  <c r="Q175" i="26"/>
  <c r="Q170" i="26"/>
  <c r="Q169" i="26"/>
  <c r="Q168" i="26"/>
  <c r="Q167" i="26"/>
  <c r="Q166" i="26"/>
  <c r="Q165" i="26"/>
  <c r="Q164" i="26"/>
  <c r="Q163" i="26"/>
  <c r="Q162" i="26"/>
  <c r="Q161" i="26"/>
  <c r="Q160" i="26"/>
  <c r="Q159" i="26"/>
  <c r="Q158" i="26"/>
  <c r="Q154" i="26"/>
  <c r="Q155" i="26"/>
  <c r="Q149" i="26"/>
  <c r="Q148" i="26"/>
  <c r="Q147" i="26"/>
  <c r="Q145" i="26"/>
  <c r="Q144" i="26"/>
  <c r="Q140" i="26"/>
  <c r="Q139" i="26"/>
  <c r="Q138" i="26"/>
  <c r="Q137" i="26"/>
  <c r="Q132" i="26"/>
  <c r="Q131" i="26"/>
  <c r="Q130" i="26"/>
  <c r="Q129" i="26"/>
  <c r="Q128" i="26"/>
  <c r="Q127" i="26"/>
  <c r="Q126" i="26"/>
  <c r="Q125" i="26"/>
  <c r="Q121" i="26"/>
  <c r="Q120" i="26"/>
  <c r="Q119" i="26"/>
  <c r="Q118" i="26"/>
  <c r="Q117" i="26"/>
  <c r="Q116" i="26"/>
  <c r="Q115" i="26"/>
  <c r="Q114" i="26"/>
  <c r="Q113" i="26"/>
  <c r="Q112" i="26"/>
  <c r="Q111" i="26"/>
  <c r="Q110" i="26"/>
  <c r="Q109" i="26"/>
  <c r="Q108" i="26"/>
  <c r="Q100" i="26"/>
  <c r="Q87" i="26"/>
  <c r="Q86" i="26"/>
  <c r="Q85" i="26"/>
  <c r="Q84" i="26"/>
  <c r="Q83" i="26"/>
  <c r="Q79" i="26"/>
  <c r="Q78" i="26"/>
  <c r="Q76" i="26"/>
  <c r="Q75" i="26"/>
  <c r="Q74" i="26"/>
  <c r="Q73" i="26"/>
  <c r="Q10" i="26"/>
  <c r="Q9" i="26"/>
  <c r="Q7" i="26"/>
  <c r="O10" i="26"/>
  <c r="O9" i="26"/>
  <c r="O7" i="26"/>
  <c r="O185" i="26"/>
  <c r="O183" i="26"/>
  <c r="O182" i="26"/>
  <c r="O181" i="26"/>
  <c r="O180" i="26"/>
  <c r="O179" i="26"/>
  <c r="O178" i="26"/>
  <c r="O177" i="26"/>
  <c r="O176" i="26"/>
  <c r="O175" i="26"/>
  <c r="O170" i="26"/>
  <c r="O169" i="26"/>
  <c r="O168" i="26"/>
  <c r="O167" i="26"/>
  <c r="O166" i="26"/>
  <c r="O165" i="26"/>
  <c r="O164" i="26"/>
  <c r="O163" i="26"/>
  <c r="O162" i="26"/>
  <c r="O161" i="26"/>
  <c r="O160" i="26"/>
  <c r="O159" i="26"/>
  <c r="O158" i="26"/>
  <c r="O154" i="26"/>
  <c r="O149" i="26"/>
  <c r="O148" i="26"/>
  <c r="O147" i="26"/>
  <c r="O145" i="26"/>
  <c r="O144" i="26"/>
  <c r="O140" i="26"/>
  <c r="O138" i="26"/>
  <c r="O137" i="26"/>
  <c r="O132" i="26"/>
  <c r="O131" i="26"/>
  <c r="O130" i="26"/>
  <c r="O129" i="26"/>
  <c r="O128" i="26"/>
  <c r="O127" i="26"/>
  <c r="O126" i="26"/>
  <c r="O125" i="26"/>
  <c r="O121" i="26"/>
  <c r="O120" i="26"/>
  <c r="O119" i="26"/>
  <c r="O118" i="26"/>
  <c r="O117" i="26"/>
  <c r="O116" i="26"/>
  <c r="O115" i="26"/>
  <c r="O114" i="26"/>
  <c r="O113" i="26"/>
  <c r="O112" i="26"/>
  <c r="O111" i="26"/>
  <c r="O110" i="26"/>
  <c r="O109" i="26"/>
  <c r="O108" i="26"/>
  <c r="O100" i="26"/>
  <c r="O87" i="26"/>
  <c r="O86" i="26"/>
  <c r="O85" i="26"/>
  <c r="O84" i="26"/>
  <c r="O83" i="26"/>
  <c r="O79" i="26"/>
  <c r="O78" i="26"/>
  <c r="O76" i="26"/>
  <c r="O75" i="26"/>
  <c r="O74" i="26"/>
  <c r="O73" i="26"/>
  <c r="N185" i="26"/>
  <c r="M185" i="26"/>
  <c r="L185" i="26"/>
  <c r="K185" i="26"/>
  <c r="P185" i="26"/>
  <c r="N183" i="26"/>
  <c r="M183" i="26"/>
  <c r="L183" i="26"/>
  <c r="K183" i="26"/>
  <c r="P183" i="26"/>
  <c r="N182" i="26"/>
  <c r="M182" i="26"/>
  <c r="L182" i="26"/>
  <c r="K182" i="26"/>
  <c r="P182" i="26"/>
  <c r="N181" i="26"/>
  <c r="M181" i="26"/>
  <c r="L181" i="26"/>
  <c r="K181" i="26"/>
  <c r="P181" i="26"/>
  <c r="N180" i="26"/>
  <c r="M180" i="26"/>
  <c r="L180" i="26"/>
  <c r="K180" i="26"/>
  <c r="P180" i="26"/>
  <c r="N179" i="26"/>
  <c r="M179" i="26"/>
  <c r="L179" i="26"/>
  <c r="K179" i="26"/>
  <c r="P179" i="26"/>
  <c r="N178" i="26"/>
  <c r="M178" i="26"/>
  <c r="L178" i="26"/>
  <c r="K178" i="26"/>
  <c r="P178" i="26"/>
  <c r="N177" i="26"/>
  <c r="M177" i="26"/>
  <c r="L177" i="26"/>
  <c r="K177" i="26"/>
  <c r="P177" i="26"/>
  <c r="N176" i="26"/>
  <c r="M176" i="26"/>
  <c r="L176" i="26"/>
  <c r="K176" i="26"/>
  <c r="P176" i="26"/>
  <c r="N175" i="26"/>
  <c r="M175" i="26"/>
  <c r="K175" i="26"/>
  <c r="P175" i="26"/>
  <c r="N170" i="26"/>
  <c r="M170" i="26"/>
  <c r="L170" i="26"/>
  <c r="K170" i="26"/>
  <c r="P170" i="26"/>
  <c r="N169" i="26"/>
  <c r="M169" i="26"/>
  <c r="L169" i="26"/>
  <c r="K169" i="26"/>
  <c r="P169" i="26"/>
  <c r="N168" i="26"/>
  <c r="M168" i="26"/>
  <c r="L168" i="26"/>
  <c r="K168" i="26"/>
  <c r="P168" i="26"/>
  <c r="N167" i="26"/>
  <c r="M167" i="26"/>
  <c r="L167" i="26"/>
  <c r="K167" i="26"/>
  <c r="P167" i="26"/>
  <c r="N166" i="26"/>
  <c r="M166" i="26"/>
  <c r="L166" i="26"/>
  <c r="K166" i="26"/>
  <c r="P166" i="26"/>
  <c r="N165" i="26"/>
  <c r="M165" i="26"/>
  <c r="L165" i="26"/>
  <c r="K165" i="26"/>
  <c r="P165" i="26"/>
  <c r="N164" i="26"/>
  <c r="M164" i="26"/>
  <c r="L164" i="26"/>
  <c r="K164" i="26"/>
  <c r="P164" i="26"/>
  <c r="N163" i="26"/>
  <c r="M163" i="26"/>
  <c r="L163" i="26"/>
  <c r="K163" i="26"/>
  <c r="P163" i="26"/>
  <c r="N162" i="26"/>
  <c r="M162" i="26"/>
  <c r="L162" i="26"/>
  <c r="K162" i="26"/>
  <c r="P162" i="26"/>
  <c r="N161" i="26"/>
  <c r="M161" i="26"/>
  <c r="L161" i="26"/>
  <c r="K161" i="26"/>
  <c r="P161" i="26"/>
  <c r="N160" i="26"/>
  <c r="M160" i="26"/>
  <c r="L160" i="26"/>
  <c r="K160" i="26"/>
  <c r="P160" i="26"/>
  <c r="N159" i="26"/>
  <c r="M159" i="26"/>
  <c r="L159" i="26"/>
  <c r="K159" i="26"/>
  <c r="P159" i="26"/>
  <c r="N158" i="26"/>
  <c r="M158" i="26"/>
  <c r="L158" i="26"/>
  <c r="K158" i="26"/>
  <c r="N154" i="26"/>
  <c r="M154" i="26"/>
  <c r="M155" i="26"/>
  <c r="L154" i="26"/>
  <c r="L155" i="26"/>
  <c r="K154" i="26"/>
  <c r="K155" i="26"/>
  <c r="P154" i="26"/>
  <c r="P155" i="26"/>
  <c r="N149" i="26"/>
  <c r="M149" i="26"/>
  <c r="L149" i="26"/>
  <c r="K149" i="26"/>
  <c r="P149" i="26"/>
  <c r="N148" i="26"/>
  <c r="L148" i="26"/>
  <c r="K148" i="26"/>
  <c r="N147" i="26"/>
  <c r="M147" i="26"/>
  <c r="L147" i="26"/>
  <c r="K147" i="26"/>
  <c r="P147" i="26"/>
  <c r="N146" i="26"/>
  <c r="M146" i="26"/>
  <c r="P146" i="26"/>
  <c r="N145" i="26"/>
  <c r="M145" i="26"/>
  <c r="L145" i="26"/>
  <c r="K145" i="26"/>
  <c r="P145" i="26"/>
  <c r="N144" i="26"/>
  <c r="M144" i="26"/>
  <c r="L144" i="26"/>
  <c r="K144" i="26"/>
  <c r="P144" i="26"/>
  <c r="N140" i="26"/>
  <c r="M140" i="26"/>
  <c r="L140" i="26"/>
  <c r="K140" i="26"/>
  <c r="P140" i="26"/>
  <c r="N139" i="26"/>
  <c r="M139" i="26"/>
  <c r="L139" i="26"/>
  <c r="K139" i="26"/>
  <c r="P139" i="26"/>
  <c r="N138" i="26"/>
  <c r="M138" i="26"/>
  <c r="L138" i="26"/>
  <c r="K138" i="26"/>
  <c r="P138" i="26"/>
  <c r="N137" i="26"/>
  <c r="M137" i="26"/>
  <c r="L137" i="26"/>
  <c r="K137" i="26"/>
  <c r="P137" i="26"/>
  <c r="N132" i="26"/>
  <c r="M132" i="26"/>
  <c r="L132" i="26"/>
  <c r="K132" i="26"/>
  <c r="P132" i="26"/>
  <c r="N131" i="26"/>
  <c r="M131" i="26"/>
  <c r="L131" i="26"/>
  <c r="K131" i="26"/>
  <c r="P131" i="26"/>
  <c r="N130" i="26"/>
  <c r="M130" i="26"/>
  <c r="L130" i="26"/>
  <c r="K130" i="26"/>
  <c r="P130" i="26"/>
  <c r="N129" i="26"/>
  <c r="M129" i="26"/>
  <c r="L129" i="26"/>
  <c r="K129" i="26"/>
  <c r="P129" i="26"/>
  <c r="N128" i="26"/>
  <c r="M128" i="26"/>
  <c r="L128" i="26"/>
  <c r="K128" i="26"/>
  <c r="P128" i="26"/>
  <c r="N127" i="26"/>
  <c r="M127" i="26"/>
  <c r="L127" i="26"/>
  <c r="K127" i="26"/>
  <c r="P127" i="26"/>
  <c r="N126" i="26"/>
  <c r="M126" i="26"/>
  <c r="K126" i="26"/>
  <c r="P126" i="26"/>
  <c r="N125" i="26"/>
  <c r="M125" i="26"/>
  <c r="L125" i="26"/>
  <c r="K125" i="26"/>
  <c r="P125" i="26"/>
  <c r="N121" i="26"/>
  <c r="M121" i="26"/>
  <c r="L121" i="26"/>
  <c r="K121" i="26"/>
  <c r="P121" i="26"/>
  <c r="N120" i="26"/>
  <c r="M120" i="26"/>
  <c r="L120" i="26"/>
  <c r="K120" i="26"/>
  <c r="P120" i="26"/>
  <c r="N119" i="26"/>
  <c r="M119" i="26"/>
  <c r="L119" i="26"/>
  <c r="K119" i="26"/>
  <c r="P119" i="26"/>
  <c r="N118" i="26"/>
  <c r="M118" i="26"/>
  <c r="L118" i="26"/>
  <c r="K118" i="26"/>
  <c r="P118" i="26"/>
  <c r="N117" i="26"/>
  <c r="M117" i="26"/>
  <c r="L117" i="26"/>
  <c r="K117" i="26"/>
  <c r="P117" i="26"/>
  <c r="N116" i="26"/>
  <c r="M116" i="26"/>
  <c r="L116" i="26"/>
  <c r="K116" i="26"/>
  <c r="P116" i="26"/>
  <c r="N115" i="26"/>
  <c r="M115" i="26"/>
  <c r="L115" i="26"/>
  <c r="K115" i="26"/>
  <c r="P115" i="26"/>
  <c r="N114" i="26"/>
  <c r="M114" i="26"/>
  <c r="L114" i="26"/>
  <c r="K114" i="26"/>
  <c r="P114" i="26"/>
  <c r="N113" i="26"/>
  <c r="M113" i="26"/>
  <c r="L113" i="26"/>
  <c r="K113" i="26"/>
  <c r="P113" i="26"/>
  <c r="N112" i="26"/>
  <c r="M112" i="26"/>
  <c r="L112" i="26"/>
  <c r="K112" i="26"/>
  <c r="P112" i="26"/>
  <c r="N111" i="26"/>
  <c r="M111" i="26"/>
  <c r="L111" i="26"/>
  <c r="K111" i="26"/>
  <c r="P111" i="26"/>
  <c r="N110" i="26"/>
  <c r="M110" i="26"/>
  <c r="L110" i="26"/>
  <c r="K110" i="26"/>
  <c r="P110" i="26"/>
  <c r="N109" i="26"/>
  <c r="M109" i="26"/>
  <c r="L109" i="26"/>
  <c r="K109" i="26"/>
  <c r="P109" i="26"/>
  <c r="N108" i="26"/>
  <c r="M108" i="26"/>
  <c r="L108" i="26"/>
  <c r="K108" i="26"/>
  <c r="P108" i="26"/>
  <c r="N100" i="26"/>
  <c r="M100" i="26"/>
  <c r="L100" i="26"/>
  <c r="K100" i="26"/>
  <c r="P100" i="26"/>
  <c r="P99" i="26"/>
  <c r="N87" i="26"/>
  <c r="M87" i="26"/>
  <c r="L87" i="26"/>
  <c r="K87" i="26"/>
  <c r="P87" i="26"/>
  <c r="L86" i="26"/>
  <c r="K86" i="26"/>
  <c r="N85" i="26"/>
  <c r="M85" i="26"/>
  <c r="L85" i="26"/>
  <c r="K85" i="26"/>
  <c r="P85" i="26"/>
  <c r="N84" i="26"/>
  <c r="M84" i="26"/>
  <c r="L84" i="26"/>
  <c r="K84" i="26"/>
  <c r="P84" i="26"/>
  <c r="N79" i="26"/>
  <c r="M79" i="26"/>
  <c r="L79" i="26"/>
  <c r="K79" i="26"/>
  <c r="P79" i="26"/>
  <c r="N78" i="26"/>
  <c r="M78" i="26"/>
  <c r="L78" i="26"/>
  <c r="K78" i="26"/>
  <c r="P78" i="26"/>
  <c r="M77" i="26"/>
  <c r="L77" i="26"/>
  <c r="K77" i="26"/>
  <c r="N76" i="26"/>
  <c r="L76" i="26"/>
  <c r="K76" i="26"/>
  <c r="P76" i="26"/>
  <c r="N75" i="26"/>
  <c r="M75" i="26"/>
  <c r="L75" i="26"/>
  <c r="K75" i="26"/>
  <c r="P75" i="26"/>
  <c r="N74" i="26"/>
  <c r="M74" i="26"/>
  <c r="L74" i="26"/>
  <c r="K74" i="26"/>
  <c r="P74" i="26"/>
  <c r="N73" i="26"/>
  <c r="M73" i="26"/>
  <c r="L73" i="26"/>
  <c r="K73" i="26"/>
  <c r="P73" i="26"/>
  <c r="N72" i="26"/>
  <c r="M72" i="26"/>
  <c r="P72" i="26"/>
  <c r="K7" i="26"/>
  <c r="L7" i="26"/>
  <c r="M7" i="26"/>
  <c r="N7" i="26"/>
  <c r="K9" i="26"/>
  <c r="L9" i="26"/>
  <c r="M9" i="26"/>
  <c r="N9" i="26"/>
  <c r="K10" i="26"/>
  <c r="L10" i="26"/>
  <c r="M10" i="26"/>
  <c r="N10" i="26"/>
  <c r="N77" i="26"/>
  <c r="P10" i="26"/>
  <c r="P9" i="26"/>
  <c r="P7" i="26"/>
  <c r="J185" i="26"/>
  <c r="J183" i="26"/>
  <c r="J182" i="26"/>
  <c r="J181" i="26"/>
  <c r="J180" i="26"/>
  <c r="J179" i="26"/>
  <c r="J178" i="26"/>
  <c r="J177" i="26"/>
  <c r="J176" i="26"/>
  <c r="J175" i="26"/>
  <c r="J170" i="26"/>
  <c r="J169" i="26"/>
  <c r="J168" i="26"/>
  <c r="J167" i="26"/>
  <c r="J166" i="26"/>
  <c r="J165" i="26"/>
  <c r="J164" i="26"/>
  <c r="J163" i="26"/>
  <c r="J162" i="26"/>
  <c r="J161" i="26"/>
  <c r="J160" i="26"/>
  <c r="J159" i="26"/>
  <c r="J158" i="26"/>
  <c r="J154" i="26"/>
  <c r="J149" i="26"/>
  <c r="J148" i="26"/>
  <c r="J147" i="26"/>
  <c r="J145" i="26"/>
  <c r="J144" i="26"/>
  <c r="J140" i="26"/>
  <c r="J138" i="26"/>
  <c r="J137" i="26"/>
  <c r="J132" i="26"/>
  <c r="J131" i="26"/>
  <c r="J130" i="26"/>
  <c r="J129" i="26"/>
  <c r="J128" i="26"/>
  <c r="J127" i="26"/>
  <c r="J126" i="26"/>
  <c r="J125" i="26"/>
  <c r="J121" i="26"/>
  <c r="J120" i="26"/>
  <c r="J119" i="26"/>
  <c r="J118" i="26"/>
  <c r="J117" i="26"/>
  <c r="J116" i="26"/>
  <c r="J115" i="26"/>
  <c r="J114" i="26"/>
  <c r="J113" i="26"/>
  <c r="J112" i="26"/>
  <c r="J111" i="26"/>
  <c r="J110" i="26"/>
  <c r="J109" i="26"/>
  <c r="J108" i="26"/>
  <c r="J100" i="26"/>
  <c r="J87" i="26"/>
  <c r="J86" i="26"/>
  <c r="J85" i="26"/>
  <c r="J84" i="26"/>
  <c r="J79" i="26"/>
  <c r="J78" i="26"/>
  <c r="J77" i="26"/>
  <c r="J76" i="26"/>
  <c r="J75" i="26"/>
  <c r="J74" i="26"/>
  <c r="J73" i="26"/>
  <c r="E185" i="26"/>
  <c r="E183" i="26"/>
  <c r="E182" i="26"/>
  <c r="E181" i="26"/>
  <c r="E180" i="26"/>
  <c r="E179" i="26"/>
  <c r="E178" i="26"/>
  <c r="E177" i="26"/>
  <c r="E176" i="26"/>
  <c r="E175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4" i="26"/>
  <c r="E155" i="26"/>
  <c r="E149" i="26"/>
  <c r="E148" i="26"/>
  <c r="E147" i="26"/>
  <c r="E146" i="26"/>
  <c r="E145" i="26"/>
  <c r="E144" i="26"/>
  <c r="E140" i="26"/>
  <c r="E139" i="26"/>
  <c r="E138" i="26"/>
  <c r="E137" i="26"/>
  <c r="E132" i="26"/>
  <c r="E131" i="26"/>
  <c r="E130" i="26"/>
  <c r="E129" i="26"/>
  <c r="E128" i="26"/>
  <c r="E127" i="26"/>
  <c r="E126" i="26"/>
  <c r="E125" i="26"/>
  <c r="E121" i="26"/>
  <c r="E120" i="26"/>
  <c r="E119" i="26"/>
  <c r="E118" i="26"/>
  <c r="E117" i="26"/>
  <c r="E116" i="26"/>
  <c r="E115" i="26"/>
  <c r="E114" i="26"/>
  <c r="E113" i="26"/>
  <c r="E112" i="26"/>
  <c r="E110" i="26"/>
  <c r="E109" i="26"/>
  <c r="E108" i="26"/>
  <c r="E100" i="26"/>
  <c r="E87" i="26"/>
  <c r="E86" i="26"/>
  <c r="E85" i="26"/>
  <c r="E84" i="26"/>
  <c r="E79" i="26"/>
  <c r="E78" i="26"/>
  <c r="E77" i="26"/>
  <c r="E76" i="26"/>
  <c r="E75" i="26"/>
  <c r="E74" i="26"/>
  <c r="E73" i="26"/>
  <c r="E9" i="26"/>
  <c r="E8" i="26"/>
  <c r="E7" i="26"/>
  <c r="D100" i="26"/>
  <c r="D185" i="26"/>
  <c r="D183" i="26"/>
  <c r="D182" i="26"/>
  <c r="D181" i="26"/>
  <c r="D180" i="26"/>
  <c r="D179" i="26"/>
  <c r="D178" i="26"/>
  <c r="D177" i="26"/>
  <c r="D176" i="26"/>
  <c r="D175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49" i="26"/>
  <c r="D148" i="26"/>
  <c r="D147" i="26"/>
  <c r="D146" i="26"/>
  <c r="D145" i="26"/>
  <c r="D144" i="26"/>
  <c r="D140" i="26"/>
  <c r="D139" i="26"/>
  <c r="D138" i="26"/>
  <c r="D137" i="26"/>
  <c r="D132" i="26"/>
  <c r="D131" i="26"/>
  <c r="D130" i="26"/>
  <c r="D129" i="26"/>
  <c r="D128" i="26"/>
  <c r="D127" i="26"/>
  <c r="D126" i="26"/>
  <c r="D125" i="26"/>
  <c r="D121" i="26"/>
  <c r="D120" i="26"/>
  <c r="D119" i="26"/>
  <c r="D118" i="26"/>
  <c r="D117" i="26"/>
  <c r="D116" i="26"/>
  <c r="D115" i="26"/>
  <c r="D114" i="26"/>
  <c r="D113" i="26"/>
  <c r="D112" i="26"/>
  <c r="D110" i="26"/>
  <c r="D109" i="26"/>
  <c r="D108" i="26"/>
  <c r="D87" i="26"/>
  <c r="D85" i="26"/>
  <c r="D84" i="26"/>
  <c r="D83" i="26"/>
  <c r="D79" i="26"/>
  <c r="D78" i="26"/>
  <c r="D77" i="26"/>
  <c r="D76" i="26"/>
  <c r="D75" i="26"/>
  <c r="D74" i="26"/>
  <c r="D8" i="26"/>
  <c r="D9" i="26"/>
  <c r="D7" i="26"/>
  <c r="I175" i="26"/>
  <c r="I176" i="26"/>
  <c r="I177" i="26"/>
  <c r="I178" i="26"/>
  <c r="I179" i="26"/>
  <c r="I180" i="26"/>
  <c r="I181" i="26"/>
  <c r="I182" i="26"/>
  <c r="I183" i="26"/>
  <c r="I185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54" i="26"/>
  <c r="I155" i="26"/>
  <c r="I144" i="26"/>
  <c r="I145" i="26"/>
  <c r="F146" i="6"/>
  <c r="I146" i="26"/>
  <c r="I147" i="26"/>
  <c r="I148" i="26"/>
  <c r="I149" i="26"/>
  <c r="I137" i="26"/>
  <c r="I138" i="26"/>
  <c r="I139" i="26"/>
  <c r="I140" i="26"/>
  <c r="I125" i="26"/>
  <c r="I126" i="26"/>
  <c r="I127" i="26"/>
  <c r="I128" i="26"/>
  <c r="I129" i="26"/>
  <c r="I130" i="26"/>
  <c r="I131" i="26"/>
  <c r="I132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84" i="26"/>
  <c r="I85" i="26"/>
  <c r="I86" i="26"/>
  <c r="I87" i="26"/>
  <c r="I72" i="26"/>
  <c r="I73" i="26"/>
  <c r="I74" i="26"/>
  <c r="I75" i="26"/>
  <c r="I76" i="26"/>
  <c r="I78" i="26"/>
  <c r="I79" i="26"/>
  <c r="G7" i="26"/>
  <c r="G99" i="26"/>
  <c r="H7" i="26"/>
  <c r="H94" i="26"/>
  <c r="I7" i="26"/>
  <c r="I94" i="26"/>
  <c r="G9" i="26"/>
  <c r="H9" i="26"/>
  <c r="I9" i="26"/>
  <c r="G10" i="26"/>
  <c r="H10" i="26"/>
  <c r="I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9" i="26"/>
  <c r="F70" i="26"/>
  <c r="F71" i="26"/>
  <c r="F73" i="26"/>
  <c r="F74" i="26"/>
  <c r="F75" i="26"/>
  <c r="F76" i="26"/>
  <c r="F77" i="26"/>
  <c r="F78" i="26"/>
  <c r="F79" i="26"/>
  <c r="F81" i="26"/>
  <c r="F82" i="26"/>
  <c r="F83" i="26"/>
  <c r="F84" i="26"/>
  <c r="F85" i="26"/>
  <c r="F86" i="26"/>
  <c r="F87" i="26"/>
  <c r="C88" i="6"/>
  <c r="F88" i="26"/>
  <c r="F89" i="26"/>
  <c r="F91" i="26"/>
  <c r="F92" i="26"/>
  <c r="C93" i="6"/>
  <c r="F93" i="26"/>
  <c r="C94" i="6"/>
  <c r="F94" i="26"/>
  <c r="C99" i="6"/>
  <c r="F99" i="26"/>
  <c r="F100" i="26"/>
  <c r="F103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3" i="26"/>
  <c r="F124" i="26"/>
  <c r="F125" i="26"/>
  <c r="F126" i="26"/>
  <c r="F127" i="26"/>
  <c r="F128" i="26"/>
  <c r="F129" i="26"/>
  <c r="F130" i="26"/>
  <c r="F131" i="26"/>
  <c r="F132" i="26"/>
  <c r="C133" i="6"/>
  <c r="F133" i="26"/>
  <c r="F134" i="26"/>
  <c r="F135" i="26"/>
  <c r="F136" i="26"/>
  <c r="F137" i="26"/>
  <c r="F138" i="26"/>
  <c r="F139" i="26"/>
  <c r="F140" i="26"/>
  <c r="C141" i="6"/>
  <c r="F141" i="26"/>
  <c r="F142" i="26"/>
  <c r="F143" i="26"/>
  <c r="F144" i="26"/>
  <c r="F145" i="26"/>
  <c r="C146" i="6"/>
  <c r="F146" i="26"/>
  <c r="F147" i="26"/>
  <c r="F148" i="26"/>
  <c r="F149" i="26"/>
  <c r="C150" i="6"/>
  <c r="F150" i="26"/>
  <c r="F151" i="26"/>
  <c r="F152" i="26"/>
  <c r="F153" i="26"/>
  <c r="F154" i="26"/>
  <c r="C155" i="6"/>
  <c r="F155" i="26"/>
  <c r="F9" i="26"/>
  <c r="F10" i="26"/>
  <c r="F156" i="26"/>
  <c r="F157" i="26"/>
  <c r="F158" i="26"/>
  <c r="F159" i="26"/>
  <c r="F160" i="26"/>
  <c r="F7" i="26"/>
  <c r="H185" i="26"/>
  <c r="G185" i="26"/>
  <c r="F185" i="26"/>
  <c r="H183" i="26"/>
  <c r="G183" i="26"/>
  <c r="F183" i="26"/>
  <c r="H182" i="26"/>
  <c r="G182" i="26"/>
  <c r="F182" i="26"/>
  <c r="H181" i="26"/>
  <c r="G181" i="26"/>
  <c r="F181" i="26"/>
  <c r="H180" i="26"/>
  <c r="G180" i="26"/>
  <c r="F180" i="26"/>
  <c r="H179" i="26"/>
  <c r="G179" i="26"/>
  <c r="F179" i="26"/>
  <c r="H178" i="26"/>
  <c r="G178" i="26"/>
  <c r="F178" i="26"/>
  <c r="H177" i="26"/>
  <c r="G177" i="26"/>
  <c r="F177" i="26"/>
  <c r="H176" i="26"/>
  <c r="G176" i="26"/>
  <c r="F176" i="26"/>
  <c r="H175" i="26"/>
  <c r="G175" i="26"/>
  <c r="F175" i="26"/>
  <c r="H170" i="26"/>
  <c r="G170" i="26"/>
  <c r="F170" i="26"/>
  <c r="H169" i="26"/>
  <c r="G169" i="26"/>
  <c r="F169" i="26"/>
  <c r="H168" i="26"/>
  <c r="G168" i="26"/>
  <c r="F168" i="26"/>
  <c r="H167" i="26"/>
  <c r="G167" i="26"/>
  <c r="F167" i="26"/>
  <c r="H166" i="26"/>
  <c r="G166" i="26"/>
  <c r="F166" i="26"/>
  <c r="H165" i="26"/>
  <c r="G165" i="26"/>
  <c r="F165" i="26"/>
  <c r="H164" i="26"/>
  <c r="G164" i="26"/>
  <c r="F164" i="26"/>
  <c r="H163" i="26"/>
  <c r="G163" i="26"/>
  <c r="F163" i="26"/>
  <c r="H162" i="26"/>
  <c r="G162" i="26"/>
  <c r="F162" i="26"/>
  <c r="H161" i="26"/>
  <c r="G161" i="26"/>
  <c r="F161" i="26"/>
  <c r="H160" i="26"/>
  <c r="G160" i="26"/>
  <c r="H159" i="26"/>
  <c r="D159" i="6"/>
  <c r="G159" i="26"/>
  <c r="H158" i="26"/>
  <c r="G158" i="26"/>
  <c r="H154" i="26"/>
  <c r="H155" i="26"/>
  <c r="G154" i="26"/>
  <c r="G155" i="26"/>
  <c r="H149" i="26"/>
  <c r="G149" i="26"/>
  <c r="H148" i="26"/>
  <c r="G148" i="26"/>
  <c r="H147" i="26"/>
  <c r="G147" i="26"/>
  <c r="E146" i="6"/>
  <c r="H146" i="26"/>
  <c r="D146" i="6"/>
  <c r="G146" i="26"/>
  <c r="H145" i="26"/>
  <c r="G145" i="26"/>
  <c r="H144" i="26"/>
  <c r="G144" i="26"/>
  <c r="H140" i="26"/>
  <c r="G140" i="26"/>
  <c r="H139" i="26"/>
  <c r="G139" i="26"/>
  <c r="H138" i="26"/>
  <c r="G138" i="26"/>
  <c r="H137" i="26"/>
  <c r="G137" i="26"/>
  <c r="H132" i="26"/>
  <c r="G132" i="26"/>
  <c r="H131" i="26"/>
  <c r="G131" i="26"/>
  <c r="H130" i="26"/>
  <c r="G130" i="26"/>
  <c r="H129" i="26"/>
  <c r="G129" i="26"/>
  <c r="H128" i="26"/>
  <c r="G128" i="26"/>
  <c r="H127" i="26"/>
  <c r="G127" i="26"/>
  <c r="H126" i="26"/>
  <c r="G126" i="26"/>
  <c r="H125" i="26"/>
  <c r="G125" i="26"/>
  <c r="H121" i="26"/>
  <c r="G121" i="26"/>
  <c r="H120" i="26"/>
  <c r="G120" i="26"/>
  <c r="H119" i="26"/>
  <c r="G119" i="26"/>
  <c r="H118" i="26"/>
  <c r="G118" i="26"/>
  <c r="H117" i="26"/>
  <c r="G117" i="26"/>
  <c r="H116" i="26"/>
  <c r="G116" i="26"/>
  <c r="H115" i="26"/>
  <c r="G115" i="26"/>
  <c r="H114" i="26"/>
  <c r="G114" i="26"/>
  <c r="H113" i="26"/>
  <c r="G113" i="26"/>
  <c r="H112" i="26"/>
  <c r="G112" i="26"/>
  <c r="H111" i="26"/>
  <c r="G111" i="26"/>
  <c r="H110" i="26"/>
  <c r="G110" i="26"/>
  <c r="H109" i="26"/>
  <c r="G109" i="26"/>
  <c r="H108" i="26"/>
  <c r="G108" i="26"/>
  <c r="H87" i="26"/>
  <c r="G87" i="26"/>
  <c r="H86" i="26"/>
  <c r="G86" i="26"/>
  <c r="H85" i="26"/>
  <c r="G85" i="26"/>
  <c r="H84" i="26"/>
  <c r="G84" i="26"/>
  <c r="H79" i="26"/>
  <c r="G79" i="26"/>
  <c r="H78" i="26"/>
  <c r="G78" i="26"/>
  <c r="G77" i="26"/>
  <c r="H76" i="26"/>
  <c r="H75" i="26"/>
  <c r="G75" i="26"/>
  <c r="H74" i="26"/>
  <c r="G74" i="26"/>
  <c r="H73" i="26"/>
  <c r="G73" i="26"/>
  <c r="H72" i="26"/>
  <c r="G72" i="26"/>
  <c r="C185" i="26"/>
  <c r="C175" i="26"/>
  <c r="C171" i="26"/>
  <c r="C155" i="26"/>
  <c r="O155" i="26"/>
  <c r="N155" i="26"/>
  <c r="J155" i="26"/>
  <c r="C146" i="26"/>
  <c r="C150" i="26"/>
  <c r="C140" i="26"/>
  <c r="C137" i="26"/>
  <c r="C133" i="26"/>
  <c r="C121" i="26"/>
  <c r="C122" i="26"/>
  <c r="C99" i="26"/>
  <c r="C94" i="26"/>
  <c r="C93" i="26"/>
  <c r="C88" i="26"/>
  <c r="C66" i="26"/>
  <c r="C49" i="26"/>
  <c r="AX188" i="21"/>
  <c r="AX192" i="21"/>
  <c r="AI188" i="17"/>
  <c r="AI192" i="17"/>
  <c r="P148" i="26"/>
  <c r="C90" i="22"/>
  <c r="C96" i="22"/>
  <c r="C101" i="22"/>
  <c r="C95" i="22"/>
  <c r="C97" i="22"/>
  <c r="C98" i="22"/>
  <c r="C189" i="22"/>
  <c r="P86" i="26"/>
  <c r="P88" i="26"/>
  <c r="P158" i="26"/>
  <c r="P171" i="26"/>
  <c r="T100" i="26"/>
  <c r="L100" i="1"/>
  <c r="P133" i="26"/>
  <c r="Q133" i="26"/>
  <c r="K88" i="26"/>
  <c r="R88" i="26"/>
  <c r="N133" i="26"/>
  <c r="L88" i="26"/>
  <c r="E88" i="26"/>
  <c r="K133" i="26"/>
  <c r="H171" i="26"/>
  <c r="D88" i="26"/>
  <c r="J88" i="26"/>
  <c r="O88" i="26"/>
  <c r="E171" i="26"/>
  <c r="G94" i="26"/>
  <c r="G133" i="26"/>
  <c r="Q88" i="26"/>
  <c r="G93" i="26"/>
  <c r="L141" i="26"/>
  <c r="E141" i="26"/>
  <c r="I171" i="26"/>
  <c r="J186" i="26"/>
  <c r="O186" i="26"/>
  <c r="T130" i="26"/>
  <c r="L130" i="1"/>
  <c r="I122" i="26"/>
  <c r="C80" i="26"/>
  <c r="C97" i="26"/>
  <c r="T164" i="26"/>
  <c r="L164" i="1"/>
  <c r="H88" i="26"/>
  <c r="H186" i="26"/>
  <c r="I93" i="26"/>
  <c r="N150" i="26"/>
  <c r="D150" i="26"/>
  <c r="E186" i="26"/>
  <c r="T45" i="26"/>
  <c r="L45" i="1"/>
  <c r="L122" i="26"/>
  <c r="C141" i="26"/>
  <c r="R141" i="26"/>
  <c r="T160" i="26"/>
  <c r="L160" i="1"/>
  <c r="M171" i="26"/>
  <c r="L171" i="26"/>
  <c r="T63" i="26"/>
  <c r="L63" i="1"/>
  <c r="I99" i="26"/>
  <c r="I133" i="26"/>
  <c r="I141" i="26"/>
  <c r="P150" i="26"/>
  <c r="P141" i="26"/>
  <c r="N141" i="26"/>
  <c r="D141" i="26"/>
  <c r="N171" i="26"/>
  <c r="M186" i="26"/>
  <c r="H122" i="26"/>
  <c r="I88" i="26"/>
  <c r="I150" i="26"/>
  <c r="I186" i="26"/>
  <c r="T181" i="26"/>
  <c r="L181" i="1"/>
  <c r="T168" i="26"/>
  <c r="L168" i="1"/>
  <c r="T36" i="26"/>
  <c r="L36" i="1"/>
  <c r="T116" i="26"/>
  <c r="L116" i="1"/>
  <c r="T15" i="26"/>
  <c r="L15" i="1"/>
  <c r="T75" i="26"/>
  <c r="L75" i="1"/>
  <c r="T55" i="26"/>
  <c r="L55" i="1"/>
  <c r="T59" i="26"/>
  <c r="L59" i="1"/>
  <c r="J122" i="26"/>
  <c r="M122" i="26"/>
  <c r="O122" i="26"/>
  <c r="E150" i="26"/>
  <c r="K171" i="26"/>
  <c r="Q171" i="26"/>
  <c r="T41" i="26"/>
  <c r="L41" i="1"/>
  <c r="E133" i="26"/>
  <c r="R133" i="26"/>
  <c r="T145" i="26"/>
  <c r="L145" i="1"/>
  <c r="T35" i="26"/>
  <c r="L35" i="1"/>
  <c r="T27" i="26"/>
  <c r="L27" i="1"/>
  <c r="T19" i="26"/>
  <c r="L19" i="1"/>
  <c r="T43" i="26"/>
  <c r="L43" i="1"/>
  <c r="T47" i="26"/>
  <c r="L47" i="1"/>
  <c r="H99" i="26"/>
  <c r="T113" i="26"/>
  <c r="L113" i="1"/>
  <c r="T117" i="26"/>
  <c r="L117" i="1"/>
  <c r="T128" i="26"/>
  <c r="L128" i="1"/>
  <c r="T132" i="26"/>
  <c r="L132" i="1"/>
  <c r="H141" i="26"/>
  <c r="T176" i="26"/>
  <c r="L176" i="1"/>
  <c r="M141" i="26"/>
  <c r="T23" i="26"/>
  <c r="L23" i="1"/>
  <c r="N80" i="26"/>
  <c r="J133" i="26"/>
  <c r="M133" i="26"/>
  <c r="O133" i="26"/>
  <c r="J171" i="26"/>
  <c r="O171" i="26"/>
  <c r="T54" i="26"/>
  <c r="L54" i="1"/>
  <c r="T56" i="26"/>
  <c r="L56" i="1"/>
  <c r="T58" i="26"/>
  <c r="L58" i="1"/>
  <c r="T60" i="26"/>
  <c r="L60" i="1"/>
  <c r="T62" i="26"/>
  <c r="L62" i="1"/>
  <c r="T64" i="26"/>
  <c r="L64" i="1"/>
  <c r="T85" i="26"/>
  <c r="L85" i="1"/>
  <c r="T112" i="26"/>
  <c r="L112" i="1"/>
  <c r="T120" i="26"/>
  <c r="L120" i="1"/>
  <c r="T177" i="26"/>
  <c r="L177" i="1"/>
  <c r="T53" i="26"/>
  <c r="L53" i="1"/>
  <c r="T57" i="26"/>
  <c r="L57" i="1"/>
  <c r="T61" i="26"/>
  <c r="L61" i="1"/>
  <c r="T65" i="26"/>
  <c r="L65" i="1"/>
  <c r="T73" i="26"/>
  <c r="L73" i="1"/>
  <c r="G88" i="26"/>
  <c r="T87" i="26"/>
  <c r="L87" i="1"/>
  <c r="H93" i="26"/>
  <c r="G150" i="26"/>
  <c r="T162" i="26"/>
  <c r="L162" i="1"/>
  <c r="T165" i="26"/>
  <c r="L165" i="1"/>
  <c r="T166" i="26"/>
  <c r="L166" i="1"/>
  <c r="T169" i="26"/>
  <c r="L169" i="1"/>
  <c r="T170" i="26"/>
  <c r="L170" i="1"/>
  <c r="T180" i="26"/>
  <c r="L180" i="1"/>
  <c r="D133" i="26"/>
  <c r="T109" i="26"/>
  <c r="L109" i="1"/>
  <c r="T28" i="26"/>
  <c r="L28" i="1"/>
  <c r="T24" i="26"/>
  <c r="L24" i="1"/>
  <c r="T20" i="26"/>
  <c r="L20" i="1"/>
  <c r="T42" i="26"/>
  <c r="L42" i="1"/>
  <c r="T44" i="26"/>
  <c r="L44" i="1"/>
  <c r="T46" i="26"/>
  <c r="L46" i="1"/>
  <c r="T48" i="26"/>
  <c r="L48" i="1"/>
  <c r="T74" i="26"/>
  <c r="L74" i="1"/>
  <c r="T125" i="26"/>
  <c r="L125" i="1"/>
  <c r="T127" i="26"/>
  <c r="L127" i="1"/>
  <c r="T129" i="26"/>
  <c r="L129" i="1"/>
  <c r="T131" i="26"/>
  <c r="L131" i="1"/>
  <c r="T159" i="26"/>
  <c r="L159" i="1"/>
  <c r="G171" i="26"/>
  <c r="T163" i="26"/>
  <c r="L163" i="1"/>
  <c r="T167" i="26"/>
  <c r="L167" i="1"/>
  <c r="T78" i="26"/>
  <c r="L78" i="1"/>
  <c r="T79" i="26"/>
  <c r="L79" i="1"/>
  <c r="T16" i="26"/>
  <c r="L16" i="1"/>
  <c r="T7" i="26"/>
  <c r="T84" i="26"/>
  <c r="L84" i="1"/>
  <c r="T13" i="26"/>
  <c r="L13" i="1"/>
  <c r="T17" i="26"/>
  <c r="L17" i="1"/>
  <c r="T21" i="26"/>
  <c r="L21" i="1"/>
  <c r="T25" i="26"/>
  <c r="L25" i="1"/>
  <c r="T29" i="26"/>
  <c r="L29" i="1"/>
  <c r="T33" i="26"/>
  <c r="L33" i="1"/>
  <c r="T37" i="26"/>
  <c r="L37" i="1"/>
  <c r="T108" i="26"/>
  <c r="L108" i="1"/>
  <c r="T121" i="26"/>
  <c r="L121" i="1"/>
  <c r="F171" i="26"/>
  <c r="H133" i="26"/>
  <c r="T14" i="26"/>
  <c r="L14" i="1"/>
  <c r="T18" i="26"/>
  <c r="L18" i="1"/>
  <c r="T22" i="26"/>
  <c r="L22" i="1"/>
  <c r="T26" i="26"/>
  <c r="L26" i="1"/>
  <c r="T30" i="26"/>
  <c r="L30" i="1"/>
  <c r="T34" i="26"/>
  <c r="L34" i="1"/>
  <c r="H150" i="26"/>
  <c r="T144" i="26"/>
  <c r="L144" i="1"/>
  <c r="G141" i="26"/>
  <c r="K141" i="26"/>
  <c r="Q141" i="26"/>
  <c r="T140" i="26"/>
  <c r="L140" i="1"/>
  <c r="P122" i="26"/>
  <c r="N122" i="26"/>
  <c r="G122" i="26"/>
  <c r="K122" i="26"/>
  <c r="Q122" i="26"/>
  <c r="T115" i="26"/>
  <c r="L115" i="1"/>
  <c r="T119" i="26"/>
  <c r="L119" i="1"/>
  <c r="F186" i="26"/>
  <c r="P186" i="26"/>
  <c r="N186" i="26"/>
  <c r="D186" i="26"/>
  <c r="T179" i="26"/>
  <c r="T183" i="26"/>
  <c r="L183" i="1"/>
  <c r="T114" i="26"/>
  <c r="L114" i="1"/>
  <c r="T118" i="26"/>
  <c r="L118" i="1"/>
  <c r="T137" i="26"/>
  <c r="L137" i="1"/>
  <c r="T138" i="26"/>
  <c r="L138" i="1"/>
  <c r="T147" i="26"/>
  <c r="L147" i="1"/>
  <c r="G186" i="26"/>
  <c r="K186" i="26"/>
  <c r="Q186" i="26"/>
  <c r="T178" i="26"/>
  <c r="L178" i="1"/>
  <c r="T182" i="26"/>
  <c r="AI190" i="17"/>
  <c r="AX190" i="21"/>
  <c r="L182" i="1"/>
  <c r="W182" i="26"/>
  <c r="L179" i="1"/>
  <c r="W179" i="26"/>
  <c r="C102" i="22"/>
  <c r="C104" i="22"/>
  <c r="C191" i="22"/>
  <c r="C98" i="26"/>
  <c r="C101" i="26"/>
  <c r="C90" i="26"/>
  <c r="I188" i="26"/>
  <c r="C95" i="26"/>
  <c r="C96" i="26"/>
  <c r="T49" i="26"/>
  <c r="T66" i="26"/>
  <c r="H188" i="26"/>
  <c r="N188" i="26"/>
  <c r="P188" i="26"/>
  <c r="G188" i="26"/>
  <c r="W186" i="26"/>
  <c r="W188" i="26"/>
  <c r="C193" i="22"/>
  <c r="C102" i="26"/>
  <c r="C104" i="26"/>
  <c r="D94" i="6"/>
  <c r="E94" i="6"/>
  <c r="F94" i="6"/>
  <c r="H94" i="6"/>
  <c r="D99" i="6"/>
  <c r="E99" i="6"/>
  <c r="F99" i="6"/>
  <c r="H99" i="6"/>
  <c r="H100" i="6"/>
  <c r="D122" i="6"/>
  <c r="E122" i="6"/>
  <c r="F122" i="6"/>
  <c r="D150" i="6"/>
  <c r="E150" i="6"/>
  <c r="F150" i="6"/>
  <c r="D155" i="6"/>
  <c r="E155" i="6"/>
  <c r="F155" i="6"/>
  <c r="D171" i="6"/>
  <c r="E171" i="6"/>
  <c r="F171" i="6"/>
  <c r="F72" i="26"/>
  <c r="H144" i="6"/>
  <c r="H145" i="6"/>
  <c r="H146" i="6"/>
  <c r="H147" i="6"/>
  <c r="H148" i="6"/>
  <c r="H149" i="6"/>
  <c r="H150" i="6"/>
  <c r="H154" i="6"/>
  <c r="H155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D66" i="6"/>
  <c r="E66" i="6"/>
  <c r="F66" i="6"/>
  <c r="D49" i="6"/>
  <c r="E49" i="6"/>
  <c r="F49" i="6"/>
  <c r="D38" i="6"/>
  <c r="E38" i="6"/>
  <c r="F38" i="6"/>
  <c r="D88" i="6"/>
  <c r="E88" i="6"/>
  <c r="F88" i="6"/>
  <c r="C122" i="6"/>
  <c r="F122" i="26"/>
  <c r="F188" i="26"/>
  <c r="D133" i="6"/>
  <c r="E133" i="6"/>
  <c r="F133" i="6"/>
  <c r="D141" i="6"/>
  <c r="E141" i="6"/>
  <c r="F141" i="6"/>
  <c r="C171" i="6"/>
  <c r="D186" i="6"/>
  <c r="E186" i="6"/>
  <c r="F186" i="6"/>
  <c r="C186" i="6"/>
  <c r="H140" i="6"/>
  <c r="H139" i="6"/>
  <c r="H138" i="6"/>
  <c r="H137" i="6"/>
  <c r="H132" i="6"/>
  <c r="H131" i="6"/>
  <c r="H130" i="6"/>
  <c r="H129" i="6"/>
  <c r="H128" i="6"/>
  <c r="H127" i="6"/>
  <c r="H126" i="6"/>
  <c r="H125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D93" i="6"/>
  <c r="E93" i="6"/>
  <c r="F93" i="6"/>
  <c r="H93" i="6"/>
  <c r="H87" i="6"/>
  <c r="H86" i="6"/>
  <c r="H85" i="6"/>
  <c r="H84" i="6"/>
  <c r="H79" i="6"/>
  <c r="H78" i="6"/>
  <c r="H75" i="6"/>
  <c r="H74" i="6"/>
  <c r="H73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48" i="6"/>
  <c r="H47" i="6"/>
  <c r="H46" i="6"/>
  <c r="H45" i="6"/>
  <c r="H44" i="6"/>
  <c r="H43" i="6"/>
  <c r="H42" i="6"/>
  <c r="H41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G76" i="26"/>
  <c r="G80" i="26"/>
  <c r="D80" i="6"/>
  <c r="D90" i="6"/>
  <c r="H72" i="6"/>
  <c r="H76" i="6"/>
  <c r="C80" i="6"/>
  <c r="F80" i="26"/>
  <c r="F80" i="6"/>
  <c r="F90" i="6"/>
  <c r="I77" i="26"/>
  <c r="I80" i="26"/>
  <c r="D188" i="6"/>
  <c r="C188" i="6"/>
  <c r="F188" i="6"/>
  <c r="E188" i="6"/>
  <c r="I90" i="26"/>
  <c r="I101" i="26"/>
  <c r="I98" i="26"/>
  <c r="I97" i="26"/>
  <c r="I95" i="26"/>
  <c r="I96" i="26"/>
  <c r="G97" i="26"/>
  <c r="G98" i="26"/>
  <c r="G90" i="26"/>
  <c r="G96" i="26"/>
  <c r="G101" i="26"/>
  <c r="G95" i="26"/>
  <c r="E87" i="17"/>
  <c r="D87" i="17"/>
  <c r="E86" i="17"/>
  <c r="D86" i="17"/>
  <c r="E85" i="17"/>
  <c r="D85" i="17"/>
  <c r="L84" i="17"/>
  <c r="M84" i="17"/>
  <c r="N84" i="17"/>
  <c r="O84" i="17"/>
  <c r="P84" i="17"/>
  <c r="Q84" i="17"/>
  <c r="R84" i="17"/>
  <c r="S84" i="17"/>
  <c r="T84" i="17"/>
  <c r="V84" i="17"/>
  <c r="W84" i="17"/>
  <c r="X84" i="17"/>
  <c r="E84" i="17"/>
  <c r="I84" i="17"/>
  <c r="J84" i="17"/>
  <c r="K84" i="17"/>
  <c r="D84" i="17"/>
  <c r="E79" i="17"/>
  <c r="D79" i="17"/>
  <c r="E78" i="17"/>
  <c r="D78" i="17"/>
  <c r="E77" i="17"/>
  <c r="D77" i="17"/>
  <c r="E76" i="17"/>
  <c r="D76" i="17"/>
  <c r="E75" i="17"/>
  <c r="D75" i="17"/>
  <c r="E72" i="17"/>
  <c r="D72" i="17"/>
  <c r="E65" i="17"/>
  <c r="D65" i="17"/>
  <c r="E64" i="17"/>
  <c r="D64" i="17"/>
  <c r="E63" i="17"/>
  <c r="D63" i="17"/>
  <c r="E62" i="17"/>
  <c r="D62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5" i="17"/>
  <c r="D55" i="17"/>
  <c r="E54" i="17"/>
  <c r="D54" i="17"/>
  <c r="E53" i="17"/>
  <c r="D53" i="17"/>
  <c r="E48" i="17"/>
  <c r="D48" i="17"/>
  <c r="E47" i="17"/>
  <c r="D47" i="17"/>
  <c r="E46" i="17"/>
  <c r="D46" i="17"/>
  <c r="E45" i="17"/>
  <c r="D45" i="17"/>
  <c r="E44" i="17"/>
  <c r="D44" i="17"/>
  <c r="E43" i="17"/>
  <c r="D43" i="17"/>
  <c r="E42" i="17"/>
  <c r="D42" i="17"/>
  <c r="E41" i="17"/>
  <c r="D41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3" i="17"/>
  <c r="E33" i="17"/>
  <c r="D34" i="17"/>
  <c r="E34" i="17"/>
  <c r="D35" i="17"/>
  <c r="E35" i="17"/>
  <c r="D36" i="17"/>
  <c r="E36" i="17"/>
  <c r="D37" i="17"/>
  <c r="E37" i="17"/>
  <c r="X122" i="17"/>
  <c r="X133" i="17"/>
  <c r="X141" i="17"/>
  <c r="X150" i="17"/>
  <c r="X155" i="17"/>
  <c r="X171" i="17"/>
  <c r="X38" i="17"/>
  <c r="X49" i="17"/>
  <c r="X175" i="17"/>
  <c r="X186" i="17"/>
  <c r="X188" i="17"/>
  <c r="W122" i="17"/>
  <c r="W133" i="17"/>
  <c r="W141" i="17"/>
  <c r="W150" i="17"/>
  <c r="W155" i="17"/>
  <c r="W171" i="17"/>
  <c r="W38" i="17"/>
  <c r="W49" i="17"/>
  <c r="W175" i="17"/>
  <c r="W186" i="17"/>
  <c r="W188" i="17"/>
  <c r="V122" i="17"/>
  <c r="V133" i="17"/>
  <c r="V141" i="17"/>
  <c r="V150" i="17"/>
  <c r="V155" i="17"/>
  <c r="V171" i="17"/>
  <c r="V38" i="17"/>
  <c r="V49" i="17"/>
  <c r="V175" i="17"/>
  <c r="V186" i="17"/>
  <c r="V188" i="17"/>
  <c r="U122" i="17"/>
  <c r="U133" i="17"/>
  <c r="U141" i="17"/>
  <c r="U150" i="17"/>
  <c r="U155" i="17"/>
  <c r="U171" i="17"/>
  <c r="U38" i="17"/>
  <c r="U49" i="17"/>
  <c r="U175" i="17"/>
  <c r="U186" i="17"/>
  <c r="U188" i="17"/>
  <c r="T122" i="17"/>
  <c r="T133" i="17"/>
  <c r="T141" i="17"/>
  <c r="T150" i="17"/>
  <c r="T155" i="17"/>
  <c r="T171" i="17"/>
  <c r="T38" i="17"/>
  <c r="T49" i="17"/>
  <c r="T175" i="17"/>
  <c r="T186" i="17"/>
  <c r="T188" i="17"/>
  <c r="S122" i="17"/>
  <c r="S133" i="17"/>
  <c r="S141" i="17"/>
  <c r="S150" i="17"/>
  <c r="S155" i="17"/>
  <c r="S171" i="17"/>
  <c r="S38" i="17"/>
  <c r="S49" i="17"/>
  <c r="S175" i="17"/>
  <c r="S186" i="17"/>
  <c r="S188" i="17"/>
  <c r="R122" i="17"/>
  <c r="R133" i="17"/>
  <c r="R141" i="17"/>
  <c r="R150" i="17"/>
  <c r="R155" i="17"/>
  <c r="R171" i="17"/>
  <c r="R38" i="17"/>
  <c r="R49" i="17"/>
  <c r="R175" i="17"/>
  <c r="R186" i="17"/>
  <c r="R188" i="17"/>
  <c r="Q122" i="17"/>
  <c r="Q133" i="17"/>
  <c r="Q141" i="17"/>
  <c r="Q150" i="17"/>
  <c r="Q155" i="17"/>
  <c r="Q171" i="17"/>
  <c r="Q38" i="17"/>
  <c r="Q49" i="17"/>
  <c r="Q175" i="17"/>
  <c r="Q186" i="17"/>
  <c r="Q188" i="17"/>
  <c r="P122" i="17"/>
  <c r="P133" i="17"/>
  <c r="P141" i="17"/>
  <c r="P150" i="17"/>
  <c r="P155" i="17"/>
  <c r="P171" i="17"/>
  <c r="P38" i="17"/>
  <c r="P49" i="17"/>
  <c r="P175" i="17"/>
  <c r="P186" i="17"/>
  <c r="P188" i="17"/>
  <c r="O122" i="17"/>
  <c r="O133" i="17"/>
  <c r="O141" i="17"/>
  <c r="O150" i="17"/>
  <c r="O155" i="17"/>
  <c r="O171" i="17"/>
  <c r="O38" i="17"/>
  <c r="O49" i="17"/>
  <c r="O175" i="17"/>
  <c r="O186" i="17"/>
  <c r="O188" i="17"/>
  <c r="N122" i="17"/>
  <c r="N133" i="17"/>
  <c r="N141" i="17"/>
  <c r="N150" i="17"/>
  <c r="N155" i="17"/>
  <c r="N171" i="17"/>
  <c r="N38" i="17"/>
  <c r="N49" i="17"/>
  <c r="N175" i="17"/>
  <c r="N186" i="17"/>
  <c r="N188" i="17"/>
  <c r="M122" i="17"/>
  <c r="M133" i="17"/>
  <c r="M141" i="17"/>
  <c r="M150" i="17"/>
  <c r="M155" i="17"/>
  <c r="M171" i="17"/>
  <c r="M38" i="17"/>
  <c r="M49" i="17"/>
  <c r="M175" i="17"/>
  <c r="M186" i="17"/>
  <c r="M188" i="17"/>
  <c r="L122" i="17"/>
  <c r="L133" i="17"/>
  <c r="L141" i="17"/>
  <c r="L150" i="17"/>
  <c r="L155" i="17"/>
  <c r="L171" i="17"/>
  <c r="L38" i="17"/>
  <c r="L49" i="17"/>
  <c r="L175" i="17"/>
  <c r="L186" i="17"/>
  <c r="L188" i="17"/>
  <c r="K122" i="17"/>
  <c r="K133" i="17"/>
  <c r="K141" i="17"/>
  <c r="K150" i="17"/>
  <c r="K155" i="17"/>
  <c r="K171" i="17"/>
  <c r="K38" i="17"/>
  <c r="K49" i="17"/>
  <c r="K175" i="17"/>
  <c r="K186" i="17"/>
  <c r="K188" i="17"/>
  <c r="J122" i="17"/>
  <c r="J133" i="17"/>
  <c r="J141" i="17"/>
  <c r="J150" i="17"/>
  <c r="J155" i="17"/>
  <c r="J171" i="17"/>
  <c r="J38" i="17"/>
  <c r="J49" i="17"/>
  <c r="J175" i="17"/>
  <c r="J186" i="17"/>
  <c r="J188" i="17"/>
  <c r="I122" i="17"/>
  <c r="I133" i="17"/>
  <c r="I141" i="17"/>
  <c r="I150" i="17"/>
  <c r="I155" i="17"/>
  <c r="I171" i="17"/>
  <c r="I38" i="17"/>
  <c r="I49" i="17"/>
  <c r="I175" i="17"/>
  <c r="I186" i="17"/>
  <c r="I188" i="17"/>
  <c r="G122" i="17"/>
  <c r="G133" i="17"/>
  <c r="G141" i="17"/>
  <c r="G146" i="17"/>
  <c r="G150" i="17"/>
  <c r="G155" i="17"/>
  <c r="G171" i="17"/>
  <c r="G38" i="17"/>
  <c r="G49" i="17"/>
  <c r="G175" i="17"/>
  <c r="G186" i="17"/>
  <c r="G188" i="17"/>
  <c r="F122" i="17"/>
  <c r="F133" i="17"/>
  <c r="F141" i="17"/>
  <c r="F146" i="17"/>
  <c r="F150" i="17"/>
  <c r="F155" i="17"/>
  <c r="F158" i="17"/>
  <c r="F171" i="17"/>
  <c r="F38" i="17"/>
  <c r="F49" i="17"/>
  <c r="F175" i="17"/>
  <c r="F186" i="17"/>
  <c r="F188" i="17"/>
  <c r="I91" i="23"/>
  <c r="D173" i="14"/>
  <c r="D174" i="14"/>
  <c r="I92" i="23"/>
  <c r="I89" i="23"/>
  <c r="S73" i="17"/>
  <c r="T73" i="17"/>
  <c r="M73" i="17"/>
  <c r="L74" i="17"/>
  <c r="I94" i="23"/>
  <c r="F72" i="17"/>
  <c r="C53" i="17"/>
  <c r="D106" i="14"/>
  <c r="D107" i="14"/>
  <c r="I52" i="23"/>
  <c r="BB73" i="2"/>
  <c r="I56" i="23"/>
  <c r="BA73" i="2"/>
  <c r="AZ73" i="2"/>
  <c r="I57" i="23"/>
  <c r="AX73" i="2"/>
  <c r="I54" i="23"/>
  <c r="I53" i="23"/>
  <c r="AU73" i="2"/>
  <c r="D91" i="14"/>
  <c r="D92" i="14"/>
  <c r="D187" i="14"/>
  <c r="D188" i="14"/>
  <c r="AR73" i="2"/>
  <c r="G102" i="26"/>
  <c r="I102" i="26"/>
  <c r="I104" i="26"/>
  <c r="I190" i="26"/>
  <c r="G104" i="26"/>
  <c r="I28" i="23"/>
  <c r="AB73" i="2"/>
  <c r="Y73" i="2"/>
  <c r="AA74" i="2"/>
  <c r="Z74" i="2"/>
  <c r="Y74" i="2"/>
  <c r="X74" i="2"/>
  <c r="V74" i="2"/>
  <c r="I6" i="23"/>
  <c r="U74" i="2"/>
  <c r="I15" i="23"/>
  <c r="T74" i="2"/>
  <c r="S74" i="2"/>
  <c r="R74" i="2"/>
  <c r="Q74" i="2"/>
  <c r="P74" i="2"/>
  <c r="I16" i="23"/>
  <c r="I10" i="23"/>
  <c r="M73" i="2"/>
  <c r="L73" i="2"/>
  <c r="M74" i="2"/>
  <c r="L74" i="2"/>
  <c r="D93" i="14"/>
  <c r="I8" i="23"/>
  <c r="K74" i="2"/>
  <c r="J73" i="2"/>
  <c r="I192" i="26"/>
  <c r="G190" i="26"/>
  <c r="G192" i="26"/>
  <c r="E55" i="3"/>
  <c r="D55" i="3"/>
  <c r="F120" i="14"/>
  <c r="D134" i="14"/>
  <c r="D135" i="14"/>
  <c r="D136" i="14"/>
  <c r="D137" i="14"/>
  <c r="D138" i="14"/>
  <c r="D139" i="14"/>
  <c r="D140" i="14"/>
  <c r="D141" i="14"/>
  <c r="D142" i="14"/>
  <c r="D143" i="14"/>
  <c r="I58" i="23"/>
  <c r="D144" i="14"/>
  <c r="D145" i="14"/>
  <c r="D146" i="14"/>
  <c r="D147" i="14"/>
  <c r="D148" i="14"/>
  <c r="D149" i="14"/>
  <c r="D150" i="14"/>
  <c r="D151" i="14"/>
  <c r="D152" i="14"/>
  <c r="D153" i="14"/>
  <c r="D154" i="14"/>
  <c r="F139" i="14"/>
  <c r="F140" i="14"/>
  <c r="F141" i="14"/>
  <c r="F142" i="14"/>
  <c r="F143" i="14"/>
  <c r="F144" i="14"/>
  <c r="F145" i="14"/>
  <c r="H154" i="14"/>
  <c r="F146" i="14"/>
  <c r="H144" i="14"/>
  <c r="H146" i="14"/>
  <c r="H145" i="14"/>
  <c r="F147" i="14"/>
  <c r="F148" i="14"/>
  <c r="H147" i="14"/>
  <c r="F149" i="14"/>
  <c r="F150" i="14"/>
  <c r="F151" i="14"/>
  <c r="H149" i="14"/>
  <c r="H148" i="14"/>
  <c r="H150" i="14"/>
  <c r="F152" i="14"/>
  <c r="H151" i="14"/>
  <c r="F153" i="14"/>
  <c r="F154" i="14"/>
  <c r="H153" i="14"/>
  <c r="H152" i="14"/>
  <c r="C158" i="21"/>
  <c r="C168" i="21"/>
  <c r="C167" i="21"/>
  <c r="AD110" i="21"/>
  <c r="AB110" i="21"/>
  <c r="Z110" i="21"/>
  <c r="AI73" i="21"/>
  <c r="AD73" i="21"/>
  <c r="AC73" i="21"/>
  <c r="AB73" i="21"/>
  <c r="Z73" i="21"/>
  <c r="X73" i="21"/>
  <c r="V73" i="21"/>
  <c r="U73" i="21"/>
  <c r="S73" i="21"/>
  <c r="R73" i="21"/>
  <c r="O73" i="21"/>
  <c r="M73" i="21"/>
  <c r="L73" i="21"/>
  <c r="D79" i="8"/>
  <c r="F148" i="7"/>
  <c r="M148" i="26"/>
  <c r="E126" i="7"/>
  <c r="L126" i="26"/>
  <c r="G86" i="7"/>
  <c r="N86" i="26"/>
  <c r="N88" i="26"/>
  <c r="N90" i="26"/>
  <c r="F86" i="7"/>
  <c r="M86" i="26"/>
  <c r="L133" i="26"/>
  <c r="T126" i="26"/>
  <c r="M88" i="26"/>
  <c r="T86" i="26"/>
  <c r="W86" i="26"/>
  <c r="W88" i="26"/>
  <c r="T148" i="26"/>
  <c r="L148" i="1"/>
  <c r="M150" i="26"/>
  <c r="M188" i="26"/>
  <c r="F85" i="11"/>
  <c r="AY85" i="21"/>
  <c r="H86" i="11"/>
  <c r="H87" i="11"/>
  <c r="E85" i="11"/>
  <c r="D85" i="11"/>
  <c r="BN85" i="2"/>
  <c r="E84" i="11"/>
  <c r="F84" i="11"/>
  <c r="AY84" i="21"/>
  <c r="D84" i="11"/>
  <c r="BN84" i="2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I98" i="23"/>
  <c r="C72" i="11"/>
  <c r="O72" i="26"/>
  <c r="D84" i="13"/>
  <c r="D85" i="13"/>
  <c r="F82" i="13"/>
  <c r="H82" i="13"/>
  <c r="H83" i="13"/>
  <c r="H84" i="13"/>
  <c r="H85" i="13"/>
  <c r="H86" i="13"/>
  <c r="H87" i="13"/>
  <c r="H88" i="13"/>
  <c r="F78" i="11"/>
  <c r="AY78" i="21"/>
  <c r="O77" i="26"/>
  <c r="O80" i="26"/>
  <c r="O90" i="26"/>
  <c r="L126" i="1"/>
  <c r="T133" i="26"/>
  <c r="L86" i="1"/>
  <c r="T88" i="26"/>
  <c r="H85" i="11"/>
  <c r="C41" i="21"/>
  <c r="C41" i="17"/>
  <c r="C41" i="2"/>
  <c r="C158" i="2"/>
  <c r="C167" i="2"/>
  <c r="C168" i="2"/>
  <c r="AJ93" i="21"/>
  <c r="AK93" i="21"/>
  <c r="AL93" i="21"/>
  <c r="AM93" i="21"/>
  <c r="AN93" i="21"/>
  <c r="F93" i="21"/>
  <c r="J93" i="21"/>
  <c r="K93" i="21"/>
  <c r="L93" i="21"/>
  <c r="M93" i="21"/>
  <c r="D93" i="21"/>
  <c r="D29" i="13"/>
  <c r="D42" i="13"/>
  <c r="D43" i="13"/>
  <c r="D44" i="13"/>
  <c r="G77" i="21"/>
  <c r="P88" i="21"/>
  <c r="T88" i="21"/>
  <c r="Y84" i="21"/>
  <c r="Z84" i="21"/>
  <c r="AA84" i="21"/>
  <c r="AB84" i="21"/>
  <c r="AC84" i="21"/>
  <c r="AD84" i="21"/>
  <c r="AF84" i="21"/>
  <c r="AN84" i="21"/>
  <c r="U88" i="21"/>
  <c r="U171" i="21"/>
  <c r="U155" i="21"/>
  <c r="U150" i="21"/>
  <c r="U141" i="21"/>
  <c r="U133" i="21"/>
  <c r="U122" i="21"/>
  <c r="U99" i="21"/>
  <c r="U94" i="21"/>
  <c r="U93" i="21"/>
  <c r="U66" i="21"/>
  <c r="U49" i="21"/>
  <c r="U38" i="21"/>
  <c r="U68" i="21"/>
  <c r="T171" i="21"/>
  <c r="T155" i="21"/>
  <c r="T150" i="21"/>
  <c r="T141" i="21"/>
  <c r="T133" i="21"/>
  <c r="T122" i="21"/>
  <c r="T99" i="21"/>
  <c r="T94" i="21"/>
  <c r="T93" i="21"/>
  <c r="T66" i="21"/>
  <c r="T49" i="21"/>
  <c r="T38" i="21"/>
  <c r="P171" i="21"/>
  <c r="P155" i="21"/>
  <c r="P150" i="21"/>
  <c r="P141" i="21"/>
  <c r="P133" i="21"/>
  <c r="P122" i="21"/>
  <c r="P99" i="21"/>
  <c r="P94" i="21"/>
  <c r="P93" i="21"/>
  <c r="P66" i="21"/>
  <c r="P49" i="21"/>
  <c r="P38" i="21"/>
  <c r="BB38" i="2"/>
  <c r="BB49" i="2"/>
  <c r="BB175" i="2"/>
  <c r="BA38" i="2"/>
  <c r="BA49" i="2"/>
  <c r="BA175" i="2"/>
  <c r="AZ38" i="2"/>
  <c r="AZ49" i="2"/>
  <c r="AZ175" i="2"/>
  <c r="AY38" i="2"/>
  <c r="AY49" i="2"/>
  <c r="AY175" i="2"/>
  <c r="AX38" i="2"/>
  <c r="AX49" i="2"/>
  <c r="AX175" i="2"/>
  <c r="AW38" i="2"/>
  <c r="AW49" i="2"/>
  <c r="AW175" i="2"/>
  <c r="AV38" i="2"/>
  <c r="AV49" i="2"/>
  <c r="AV175" i="2"/>
  <c r="AU38" i="2"/>
  <c r="AU49" i="2"/>
  <c r="AU175" i="2"/>
  <c r="AS38" i="2"/>
  <c r="AS49" i="2"/>
  <c r="AS175" i="2"/>
  <c r="AR38" i="2"/>
  <c r="AR49" i="2"/>
  <c r="AR175" i="2"/>
  <c r="AQ38" i="2"/>
  <c r="AQ49" i="2"/>
  <c r="AQ175" i="2"/>
  <c r="AP38" i="2"/>
  <c r="AP49" i="2"/>
  <c r="AP175" i="2"/>
  <c r="AO38" i="2"/>
  <c r="AO49" i="2"/>
  <c r="AO175" i="2"/>
  <c r="AN38" i="2"/>
  <c r="AN49" i="2"/>
  <c r="AN175" i="2"/>
  <c r="AL38" i="2"/>
  <c r="AL49" i="2"/>
  <c r="AL175" i="2"/>
  <c r="AK38" i="2"/>
  <c r="AK49" i="2"/>
  <c r="AK175" i="2"/>
  <c r="AJ38" i="2"/>
  <c r="AJ49" i="2"/>
  <c r="AJ175" i="2"/>
  <c r="AI38" i="2"/>
  <c r="AI49" i="2"/>
  <c r="AI175" i="2"/>
  <c r="AH38" i="2"/>
  <c r="AH49" i="2"/>
  <c r="AH175" i="2"/>
  <c r="AG38" i="2"/>
  <c r="AG49" i="2"/>
  <c r="AG175" i="2"/>
  <c r="AF38" i="2"/>
  <c r="AF49" i="2"/>
  <c r="AF175" i="2"/>
  <c r="AE38" i="2"/>
  <c r="AE49" i="2"/>
  <c r="AE175" i="2"/>
  <c r="AD38" i="2"/>
  <c r="AD49" i="2"/>
  <c r="AD175" i="2"/>
  <c r="AC38" i="2"/>
  <c r="AC49" i="2"/>
  <c r="AC175" i="2"/>
  <c r="AB38" i="2"/>
  <c r="AB49" i="2"/>
  <c r="AB175" i="2"/>
  <c r="AA38" i="2"/>
  <c r="AA49" i="2"/>
  <c r="AA175" i="2"/>
  <c r="Z38" i="2"/>
  <c r="Z49" i="2"/>
  <c r="Z175" i="2"/>
  <c r="Y38" i="2"/>
  <c r="Y49" i="2"/>
  <c r="Y175" i="2"/>
  <c r="X38" i="2"/>
  <c r="X49" i="2"/>
  <c r="X175" i="2"/>
  <c r="W38" i="2"/>
  <c r="W49" i="2"/>
  <c r="W175" i="2"/>
  <c r="V38" i="2"/>
  <c r="V49" i="2"/>
  <c r="V175" i="2"/>
  <c r="U38" i="2"/>
  <c r="U49" i="2"/>
  <c r="U175" i="2"/>
  <c r="T38" i="2"/>
  <c r="T49" i="2"/>
  <c r="T175" i="2"/>
  <c r="S38" i="2"/>
  <c r="S49" i="2"/>
  <c r="S175" i="2"/>
  <c r="R38" i="2"/>
  <c r="R49" i="2"/>
  <c r="R175" i="2"/>
  <c r="Q38" i="2"/>
  <c r="Q49" i="2"/>
  <c r="Q175" i="2"/>
  <c r="P38" i="2"/>
  <c r="P49" i="2"/>
  <c r="P175" i="2"/>
  <c r="O38" i="2"/>
  <c r="O49" i="2"/>
  <c r="O175" i="2"/>
  <c r="M38" i="2"/>
  <c r="M49" i="2"/>
  <c r="M175" i="2"/>
  <c r="L38" i="2"/>
  <c r="L49" i="2"/>
  <c r="L175" i="2"/>
  <c r="K38" i="2"/>
  <c r="K49" i="2"/>
  <c r="K175" i="2"/>
  <c r="J38" i="2"/>
  <c r="J49" i="2"/>
  <c r="J175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1" i="2"/>
  <c r="D42" i="2"/>
  <c r="D43" i="2"/>
  <c r="D44" i="2"/>
  <c r="D45" i="2"/>
  <c r="D46" i="2"/>
  <c r="D47" i="2"/>
  <c r="D48" i="2"/>
  <c r="D49" i="2"/>
  <c r="D175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1" i="2"/>
  <c r="E42" i="2"/>
  <c r="E43" i="2"/>
  <c r="E44" i="2"/>
  <c r="E45" i="2"/>
  <c r="E46" i="2"/>
  <c r="E47" i="2"/>
  <c r="E48" i="2"/>
  <c r="E49" i="2"/>
  <c r="E175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1" i="2"/>
  <c r="F42" i="2"/>
  <c r="F43" i="2"/>
  <c r="F44" i="2"/>
  <c r="F45" i="2"/>
  <c r="F46" i="2"/>
  <c r="F47" i="2"/>
  <c r="F48" i="2"/>
  <c r="F49" i="2"/>
  <c r="F175" i="2"/>
  <c r="G38" i="2"/>
  <c r="G49" i="2"/>
  <c r="G175" i="2"/>
  <c r="H38" i="2"/>
  <c r="H49" i="2"/>
  <c r="H175" i="2"/>
  <c r="AH158" i="17"/>
  <c r="D138" i="8"/>
  <c r="F138" i="8"/>
  <c r="BM185" i="2"/>
  <c r="BL185" i="2"/>
  <c r="BK185" i="2"/>
  <c r="BJ185" i="2"/>
  <c r="BI185" i="2"/>
  <c r="BH185" i="2"/>
  <c r="BG185" i="2"/>
  <c r="BF185" i="2"/>
  <c r="BE185" i="2"/>
  <c r="BD185" i="2"/>
  <c r="BM184" i="2"/>
  <c r="BL184" i="2"/>
  <c r="BK184" i="2"/>
  <c r="BJ184" i="2"/>
  <c r="BI184" i="2"/>
  <c r="BH184" i="2"/>
  <c r="BG184" i="2"/>
  <c r="BF184" i="2"/>
  <c r="BE184" i="2"/>
  <c r="BD184" i="2"/>
  <c r="BO183" i="2"/>
  <c r="BM183" i="2"/>
  <c r="BL183" i="2"/>
  <c r="BK183" i="2"/>
  <c r="BJ183" i="2"/>
  <c r="BI183" i="2"/>
  <c r="BH183" i="2"/>
  <c r="BG183" i="2"/>
  <c r="BF183" i="2"/>
  <c r="BE183" i="2"/>
  <c r="BD183" i="2"/>
  <c r="BO182" i="2"/>
  <c r="BM182" i="2"/>
  <c r="BL182" i="2"/>
  <c r="BK182" i="2"/>
  <c r="BJ182" i="2"/>
  <c r="BI182" i="2"/>
  <c r="BH182" i="2"/>
  <c r="BG182" i="2"/>
  <c r="BF182" i="2"/>
  <c r="BE182" i="2"/>
  <c r="BD182" i="2"/>
  <c r="BO181" i="2"/>
  <c r="BM181" i="2"/>
  <c r="BL181" i="2"/>
  <c r="BJ181" i="2"/>
  <c r="BI181" i="2"/>
  <c r="BH181" i="2"/>
  <c r="BG181" i="2"/>
  <c r="BF181" i="2"/>
  <c r="BE181" i="2"/>
  <c r="BD181" i="2"/>
  <c r="BO180" i="2"/>
  <c r="BM180" i="2"/>
  <c r="BL180" i="2"/>
  <c r="BK180" i="2"/>
  <c r="BJ180" i="2"/>
  <c r="BI180" i="2"/>
  <c r="BH180" i="2"/>
  <c r="BG180" i="2"/>
  <c r="BF180" i="2"/>
  <c r="BE180" i="2"/>
  <c r="BD180" i="2"/>
  <c r="BO179" i="2"/>
  <c r="BM179" i="2"/>
  <c r="BL179" i="2"/>
  <c r="BK179" i="2"/>
  <c r="BJ179" i="2"/>
  <c r="BI179" i="2"/>
  <c r="BH179" i="2"/>
  <c r="BG179" i="2"/>
  <c r="BF179" i="2"/>
  <c r="BE179" i="2"/>
  <c r="BD179" i="2"/>
  <c r="BO178" i="2"/>
  <c r="BM178" i="2"/>
  <c r="BL178" i="2"/>
  <c r="BK178" i="2"/>
  <c r="BJ178" i="2"/>
  <c r="BI178" i="2"/>
  <c r="BH178" i="2"/>
  <c r="BG178" i="2"/>
  <c r="BF178" i="2"/>
  <c r="BE178" i="2"/>
  <c r="BD178" i="2"/>
  <c r="BO177" i="2"/>
  <c r="BM177" i="2"/>
  <c r="BL177" i="2"/>
  <c r="BK177" i="2"/>
  <c r="BJ177" i="2"/>
  <c r="BI177" i="2"/>
  <c r="BH177" i="2"/>
  <c r="BG177" i="2"/>
  <c r="BF177" i="2"/>
  <c r="BE177" i="2"/>
  <c r="BD177" i="2"/>
  <c r="BO176" i="2"/>
  <c r="BM176" i="2"/>
  <c r="BL176" i="2"/>
  <c r="BK176" i="2"/>
  <c r="BJ176" i="2"/>
  <c r="BI176" i="2"/>
  <c r="BH176" i="2"/>
  <c r="BG176" i="2"/>
  <c r="BF176" i="2"/>
  <c r="BE176" i="2"/>
  <c r="BD176" i="2"/>
  <c r="BO170" i="2"/>
  <c r="BM170" i="2"/>
  <c r="BL170" i="2"/>
  <c r="BK170" i="2"/>
  <c r="BJ170" i="2"/>
  <c r="BI170" i="2"/>
  <c r="BG170" i="2"/>
  <c r="BF170" i="2"/>
  <c r="BE170" i="2"/>
  <c r="BD170" i="2"/>
  <c r="BO169" i="2"/>
  <c r="BM169" i="2"/>
  <c r="BL169" i="2"/>
  <c r="BK169" i="2"/>
  <c r="BJ169" i="2"/>
  <c r="BI169" i="2"/>
  <c r="BG169" i="2"/>
  <c r="BF169" i="2"/>
  <c r="BE169" i="2"/>
  <c r="BD169" i="2"/>
  <c r="BO168" i="2"/>
  <c r="BM168" i="2"/>
  <c r="BL168" i="2"/>
  <c r="BK168" i="2"/>
  <c r="BJ168" i="2"/>
  <c r="BI168" i="2"/>
  <c r="BH168" i="2"/>
  <c r="BG168" i="2"/>
  <c r="BF168" i="2"/>
  <c r="BE168" i="2"/>
  <c r="BD168" i="2"/>
  <c r="BO167" i="2"/>
  <c r="BM167" i="2"/>
  <c r="BL167" i="2"/>
  <c r="BK167" i="2"/>
  <c r="BJ167" i="2"/>
  <c r="BI167" i="2"/>
  <c r="BH167" i="2"/>
  <c r="BG167" i="2"/>
  <c r="BF167" i="2"/>
  <c r="BE167" i="2"/>
  <c r="BD167" i="2"/>
  <c r="BO166" i="2"/>
  <c r="BM166" i="2"/>
  <c r="BL166" i="2"/>
  <c r="BK166" i="2"/>
  <c r="BJ166" i="2"/>
  <c r="BI166" i="2"/>
  <c r="BH166" i="2"/>
  <c r="BG166" i="2"/>
  <c r="BF166" i="2"/>
  <c r="BE166" i="2"/>
  <c r="BD166" i="2"/>
  <c r="BO165" i="2"/>
  <c r="BM165" i="2"/>
  <c r="BL165" i="2"/>
  <c r="BK165" i="2"/>
  <c r="BJ165" i="2"/>
  <c r="BI165" i="2"/>
  <c r="BH165" i="2"/>
  <c r="BG165" i="2"/>
  <c r="BF165" i="2"/>
  <c r="BE165" i="2"/>
  <c r="BD165" i="2"/>
  <c r="BO164" i="2"/>
  <c r="BM164" i="2"/>
  <c r="BL164" i="2"/>
  <c r="BJ164" i="2"/>
  <c r="BI164" i="2"/>
  <c r="BH164" i="2"/>
  <c r="BG164" i="2"/>
  <c r="BF164" i="2"/>
  <c r="BE164" i="2"/>
  <c r="BD164" i="2"/>
  <c r="BO163" i="2"/>
  <c r="BM163" i="2"/>
  <c r="BL163" i="2"/>
  <c r="BK163" i="2"/>
  <c r="BJ163" i="2"/>
  <c r="BI163" i="2"/>
  <c r="BH163" i="2"/>
  <c r="BG163" i="2"/>
  <c r="BF163" i="2"/>
  <c r="BE163" i="2"/>
  <c r="BD163" i="2"/>
  <c r="BO162" i="2"/>
  <c r="BM162" i="2"/>
  <c r="BL162" i="2"/>
  <c r="BK162" i="2"/>
  <c r="BJ162" i="2"/>
  <c r="BI162" i="2"/>
  <c r="BH162" i="2"/>
  <c r="BG162" i="2"/>
  <c r="BF162" i="2"/>
  <c r="BE162" i="2"/>
  <c r="BD162" i="2"/>
  <c r="BM161" i="2"/>
  <c r="BL161" i="2"/>
  <c r="BK161" i="2"/>
  <c r="BJ161" i="2"/>
  <c r="BI161" i="2"/>
  <c r="BH161" i="2"/>
  <c r="BG161" i="2"/>
  <c r="BF161" i="2"/>
  <c r="BE161" i="2"/>
  <c r="BD161" i="2"/>
  <c r="BO160" i="2"/>
  <c r="BM160" i="2"/>
  <c r="BL160" i="2"/>
  <c r="BK160" i="2"/>
  <c r="BJ160" i="2"/>
  <c r="BI160" i="2"/>
  <c r="BH160" i="2"/>
  <c r="BG160" i="2"/>
  <c r="BF160" i="2"/>
  <c r="BE160" i="2"/>
  <c r="BD160" i="2"/>
  <c r="BO159" i="2"/>
  <c r="BM159" i="2"/>
  <c r="BL159" i="2"/>
  <c r="BK159" i="2"/>
  <c r="BJ159" i="2"/>
  <c r="BI159" i="2"/>
  <c r="BH159" i="2"/>
  <c r="BG159" i="2"/>
  <c r="BF159" i="2"/>
  <c r="BE159" i="2"/>
  <c r="BD159" i="2"/>
  <c r="BO158" i="2"/>
  <c r="BM158" i="2"/>
  <c r="BL158" i="2"/>
  <c r="BJ158" i="2"/>
  <c r="BI158" i="2"/>
  <c r="BM154" i="2"/>
  <c r="BL154" i="2"/>
  <c r="BJ154" i="2"/>
  <c r="BI154" i="2"/>
  <c r="BM149" i="2"/>
  <c r="BL149" i="2"/>
  <c r="BK149" i="2"/>
  <c r="BJ149" i="2"/>
  <c r="BI149" i="2"/>
  <c r="BH149" i="2"/>
  <c r="BG149" i="2"/>
  <c r="BF149" i="2"/>
  <c r="BE149" i="2"/>
  <c r="BD149" i="2"/>
  <c r="BO148" i="2"/>
  <c r="BM148" i="2"/>
  <c r="BL148" i="2"/>
  <c r="BK148" i="2"/>
  <c r="BJ148" i="2"/>
  <c r="BI148" i="2"/>
  <c r="BH148" i="2"/>
  <c r="BG148" i="2"/>
  <c r="BF148" i="2"/>
  <c r="BE148" i="2"/>
  <c r="BD148" i="2"/>
  <c r="BM147" i="2"/>
  <c r="BL147" i="2"/>
  <c r="BK147" i="2"/>
  <c r="BJ147" i="2"/>
  <c r="BI147" i="2"/>
  <c r="BH147" i="2"/>
  <c r="BG147" i="2"/>
  <c r="BF147" i="2"/>
  <c r="BE147" i="2"/>
  <c r="BD147" i="2"/>
  <c r="BO146" i="2"/>
  <c r="BM146" i="2"/>
  <c r="BK146" i="2"/>
  <c r="BJ146" i="2"/>
  <c r="BI146" i="2"/>
  <c r="BH146" i="2"/>
  <c r="BD146" i="2"/>
  <c r="BO145" i="2"/>
  <c r="BM145" i="2"/>
  <c r="BL145" i="2"/>
  <c r="BK145" i="2"/>
  <c r="BJ145" i="2"/>
  <c r="BI145" i="2"/>
  <c r="BH145" i="2"/>
  <c r="BG145" i="2"/>
  <c r="BF145" i="2"/>
  <c r="BE145" i="2"/>
  <c r="BD145" i="2"/>
  <c r="BO144" i="2"/>
  <c r="BM144" i="2"/>
  <c r="BL144" i="2"/>
  <c r="BK144" i="2"/>
  <c r="BJ144" i="2"/>
  <c r="BI144" i="2"/>
  <c r="BG144" i="2"/>
  <c r="BF144" i="2"/>
  <c r="BE144" i="2"/>
  <c r="BD144" i="2"/>
  <c r="BO140" i="2"/>
  <c r="BM140" i="2"/>
  <c r="BL140" i="2"/>
  <c r="BK140" i="2"/>
  <c r="BJ140" i="2"/>
  <c r="BI140" i="2"/>
  <c r="BH140" i="2"/>
  <c r="BG140" i="2"/>
  <c r="BF140" i="2"/>
  <c r="BE140" i="2"/>
  <c r="BD140" i="2"/>
  <c r="BO139" i="2"/>
  <c r="BM139" i="2"/>
  <c r="BL139" i="2"/>
  <c r="BK139" i="2"/>
  <c r="BJ139" i="2"/>
  <c r="BI139" i="2"/>
  <c r="BH139" i="2"/>
  <c r="BG139" i="2"/>
  <c r="BF139" i="2"/>
  <c r="BE139" i="2"/>
  <c r="BD139" i="2"/>
  <c r="BO138" i="2"/>
  <c r="BM138" i="2"/>
  <c r="BK138" i="2"/>
  <c r="BJ138" i="2"/>
  <c r="BI138" i="2"/>
  <c r="BH138" i="2"/>
  <c r="BG138" i="2"/>
  <c r="BF138" i="2"/>
  <c r="BE138" i="2"/>
  <c r="BD138" i="2"/>
  <c r="BO137" i="2"/>
  <c r="BM137" i="2"/>
  <c r="BK137" i="2"/>
  <c r="BJ137" i="2"/>
  <c r="BI137" i="2"/>
  <c r="BH137" i="2"/>
  <c r="BG137" i="2"/>
  <c r="BF137" i="2"/>
  <c r="BE137" i="2"/>
  <c r="BD137" i="2"/>
  <c r="BO132" i="2"/>
  <c r="BM132" i="2"/>
  <c r="BL132" i="2"/>
  <c r="BK132" i="2"/>
  <c r="BJ132" i="2"/>
  <c r="BI132" i="2"/>
  <c r="BH132" i="2"/>
  <c r="BG132" i="2"/>
  <c r="BF132" i="2"/>
  <c r="BE132" i="2"/>
  <c r="BD132" i="2"/>
  <c r="BO131" i="2"/>
  <c r="BM131" i="2"/>
  <c r="BK131" i="2"/>
  <c r="BJ131" i="2"/>
  <c r="BI131" i="2"/>
  <c r="BH131" i="2"/>
  <c r="BG131" i="2"/>
  <c r="BF131" i="2"/>
  <c r="BE131" i="2"/>
  <c r="BD131" i="2"/>
  <c r="BO130" i="2"/>
  <c r="BM130" i="2"/>
  <c r="BL130" i="2"/>
  <c r="BK130" i="2"/>
  <c r="BJ130" i="2"/>
  <c r="BI130" i="2"/>
  <c r="BH130" i="2"/>
  <c r="BG130" i="2"/>
  <c r="BF130" i="2"/>
  <c r="BE130" i="2"/>
  <c r="BD130" i="2"/>
  <c r="BO129" i="2"/>
  <c r="BM129" i="2"/>
  <c r="BL129" i="2"/>
  <c r="BK129" i="2"/>
  <c r="BJ129" i="2"/>
  <c r="BI129" i="2"/>
  <c r="BH129" i="2"/>
  <c r="BG129" i="2"/>
  <c r="BF129" i="2"/>
  <c r="BE129" i="2"/>
  <c r="BD129" i="2"/>
  <c r="BO128" i="2"/>
  <c r="BM128" i="2"/>
  <c r="BL128" i="2"/>
  <c r="BK128" i="2"/>
  <c r="BJ128" i="2"/>
  <c r="BI128" i="2"/>
  <c r="BH128" i="2"/>
  <c r="BG128" i="2"/>
  <c r="BF128" i="2"/>
  <c r="BE128" i="2"/>
  <c r="BD128" i="2"/>
  <c r="BO127" i="2"/>
  <c r="BM127" i="2"/>
  <c r="BL127" i="2"/>
  <c r="BJ127" i="2"/>
  <c r="BI127" i="2"/>
  <c r="BH127" i="2"/>
  <c r="BG127" i="2"/>
  <c r="BF127" i="2"/>
  <c r="BE127" i="2"/>
  <c r="BD127" i="2"/>
  <c r="BO126" i="2"/>
  <c r="BM126" i="2"/>
  <c r="BL126" i="2"/>
  <c r="BK126" i="2"/>
  <c r="BJ126" i="2"/>
  <c r="BI126" i="2"/>
  <c r="BH126" i="2"/>
  <c r="BG126" i="2"/>
  <c r="BF126" i="2"/>
  <c r="BE126" i="2"/>
  <c r="BD126" i="2"/>
  <c r="BO125" i="2"/>
  <c r="BM125" i="2"/>
  <c r="BL125" i="2"/>
  <c r="BK125" i="2"/>
  <c r="BJ125" i="2"/>
  <c r="BI125" i="2"/>
  <c r="BH125" i="2"/>
  <c r="BG125" i="2"/>
  <c r="BF125" i="2"/>
  <c r="BE125" i="2"/>
  <c r="BD125" i="2"/>
  <c r="BO121" i="2"/>
  <c r="BM121" i="2"/>
  <c r="BL121" i="2"/>
  <c r="C121" i="4"/>
  <c r="BJ121" i="2"/>
  <c r="BI121" i="2"/>
  <c r="BH121" i="2"/>
  <c r="BG121" i="2"/>
  <c r="BF121" i="2"/>
  <c r="BE121" i="2"/>
  <c r="BD121" i="2"/>
  <c r="BO120" i="2"/>
  <c r="BM120" i="2"/>
  <c r="BL120" i="2"/>
  <c r="BJ120" i="2"/>
  <c r="BI120" i="2"/>
  <c r="BH120" i="2"/>
  <c r="BG120" i="2"/>
  <c r="BF120" i="2"/>
  <c r="BE120" i="2"/>
  <c r="BD120" i="2"/>
  <c r="BO119" i="2"/>
  <c r="BM119" i="2"/>
  <c r="BL119" i="2"/>
  <c r="BK119" i="2"/>
  <c r="BJ119" i="2"/>
  <c r="BI119" i="2"/>
  <c r="BH119" i="2"/>
  <c r="BG119" i="2"/>
  <c r="BF119" i="2"/>
  <c r="BE119" i="2"/>
  <c r="BD119" i="2"/>
  <c r="BO118" i="2"/>
  <c r="BM118" i="2"/>
  <c r="BL118" i="2"/>
  <c r="BK118" i="2"/>
  <c r="BJ118" i="2"/>
  <c r="BI118" i="2"/>
  <c r="BH118" i="2"/>
  <c r="BG118" i="2"/>
  <c r="BF118" i="2"/>
  <c r="BE118" i="2"/>
  <c r="BD118" i="2"/>
  <c r="BO117" i="2"/>
  <c r="BM117" i="2"/>
  <c r="BL117" i="2"/>
  <c r="BK117" i="2"/>
  <c r="BJ117" i="2"/>
  <c r="BI117" i="2"/>
  <c r="BH117" i="2"/>
  <c r="BG117" i="2"/>
  <c r="BF117" i="2"/>
  <c r="BE117" i="2"/>
  <c r="BD117" i="2"/>
  <c r="BO116" i="2"/>
  <c r="BM116" i="2"/>
  <c r="BL116" i="2"/>
  <c r="BJ116" i="2"/>
  <c r="BI116" i="2"/>
  <c r="BH116" i="2"/>
  <c r="BG116" i="2"/>
  <c r="BF116" i="2"/>
  <c r="BE116" i="2"/>
  <c r="BD116" i="2"/>
  <c r="BO115" i="2"/>
  <c r="BM115" i="2"/>
  <c r="BL115" i="2"/>
  <c r="BK115" i="2"/>
  <c r="BJ115" i="2"/>
  <c r="BI115" i="2"/>
  <c r="BH115" i="2"/>
  <c r="BG115" i="2"/>
  <c r="BF115" i="2"/>
  <c r="BE115" i="2"/>
  <c r="BD115" i="2"/>
  <c r="BO114" i="2"/>
  <c r="BM114" i="2"/>
  <c r="BL114" i="2"/>
  <c r="BK114" i="2"/>
  <c r="BJ114" i="2"/>
  <c r="BI114" i="2"/>
  <c r="BH114" i="2"/>
  <c r="BG114" i="2"/>
  <c r="BF114" i="2"/>
  <c r="BE114" i="2"/>
  <c r="BD114" i="2"/>
  <c r="BO113" i="2"/>
  <c r="BM113" i="2"/>
  <c r="BL113" i="2"/>
  <c r="BJ113" i="2"/>
  <c r="BI113" i="2"/>
  <c r="BH113" i="2"/>
  <c r="BG113" i="2"/>
  <c r="BF113" i="2"/>
  <c r="BE113" i="2"/>
  <c r="BD113" i="2"/>
  <c r="BO112" i="2"/>
  <c r="BM112" i="2"/>
  <c r="BL112" i="2"/>
  <c r="BK112" i="2"/>
  <c r="BJ112" i="2"/>
  <c r="BI112" i="2"/>
  <c r="BH112" i="2"/>
  <c r="BG112" i="2"/>
  <c r="BF112" i="2"/>
  <c r="BE112" i="2"/>
  <c r="BD112" i="2"/>
  <c r="BO111" i="2"/>
  <c r="BM111" i="2"/>
  <c r="BL111" i="2"/>
  <c r="BK111" i="2"/>
  <c r="BJ111" i="2"/>
  <c r="BM110" i="2"/>
  <c r="BL110" i="2"/>
  <c r="BJ110" i="2"/>
  <c r="BI110" i="2"/>
  <c r="BH110" i="2"/>
  <c r="BG110" i="2"/>
  <c r="BF110" i="2"/>
  <c r="BE110" i="2"/>
  <c r="BD110" i="2"/>
  <c r="BO109" i="2"/>
  <c r="BM109" i="2"/>
  <c r="BL109" i="2"/>
  <c r="BJ109" i="2"/>
  <c r="BI109" i="2"/>
  <c r="BH109" i="2"/>
  <c r="BG109" i="2"/>
  <c r="BD109" i="2"/>
  <c r="BO108" i="2"/>
  <c r="BM108" i="2"/>
  <c r="BL108" i="2"/>
  <c r="BJ108" i="2"/>
  <c r="BI108" i="2"/>
  <c r="BH108" i="2"/>
  <c r="BG108" i="2"/>
  <c r="BF108" i="2"/>
  <c r="BE108" i="2"/>
  <c r="BD108" i="2"/>
  <c r="C88" i="4"/>
  <c r="C73" i="4"/>
  <c r="C80" i="4"/>
  <c r="C101" i="4"/>
  <c r="BJ101" i="2"/>
  <c r="BO100" i="2"/>
  <c r="BM100" i="2"/>
  <c r="BL100" i="2"/>
  <c r="BK100" i="2"/>
  <c r="BJ100" i="2"/>
  <c r="BI100" i="2"/>
  <c r="BH100" i="2"/>
  <c r="BG100" i="2"/>
  <c r="BF100" i="2"/>
  <c r="BE100" i="2"/>
  <c r="BD100" i="2"/>
  <c r="C99" i="4"/>
  <c r="BJ99" i="2"/>
  <c r="C98" i="4"/>
  <c r="BJ98" i="2"/>
  <c r="C97" i="4"/>
  <c r="BJ97" i="2"/>
  <c r="C96" i="4"/>
  <c r="BJ96" i="2"/>
  <c r="C95" i="4"/>
  <c r="BJ95" i="2"/>
  <c r="BK94" i="2"/>
  <c r="BJ94" i="2"/>
  <c r="BK93" i="2"/>
  <c r="BJ93" i="2"/>
  <c r="BO87" i="2"/>
  <c r="BM87" i="2"/>
  <c r="BL87" i="2"/>
  <c r="BK87" i="2"/>
  <c r="BJ87" i="2"/>
  <c r="BI87" i="2"/>
  <c r="BH87" i="2"/>
  <c r="BG87" i="2"/>
  <c r="BF87" i="2"/>
  <c r="BE87" i="2"/>
  <c r="BD87" i="2"/>
  <c r="BO86" i="2"/>
  <c r="BM86" i="2"/>
  <c r="BL86" i="2"/>
  <c r="BK86" i="2"/>
  <c r="BJ86" i="2"/>
  <c r="BI86" i="2"/>
  <c r="BH86" i="2"/>
  <c r="BG86" i="2"/>
  <c r="BF86" i="2"/>
  <c r="BE86" i="2"/>
  <c r="BO85" i="2"/>
  <c r="BM85" i="2"/>
  <c r="BK85" i="2"/>
  <c r="BJ85" i="2"/>
  <c r="BI85" i="2"/>
  <c r="BH85" i="2"/>
  <c r="BG85" i="2"/>
  <c r="BF85" i="2"/>
  <c r="BE85" i="2"/>
  <c r="BO84" i="2"/>
  <c r="BM84" i="2"/>
  <c r="BL84" i="2"/>
  <c r="BK84" i="2"/>
  <c r="BJ84" i="2"/>
  <c r="BI84" i="2"/>
  <c r="BH84" i="2"/>
  <c r="BG84" i="2"/>
  <c r="BF84" i="2"/>
  <c r="BE84" i="2"/>
  <c r="BD84" i="2"/>
  <c r="BO79" i="2"/>
  <c r="BM79" i="2"/>
  <c r="BL79" i="2"/>
  <c r="BK79" i="2"/>
  <c r="BJ79" i="2"/>
  <c r="BI79" i="2"/>
  <c r="BH79" i="2"/>
  <c r="BG79" i="2"/>
  <c r="BF79" i="2"/>
  <c r="BE79" i="2"/>
  <c r="BD79" i="2"/>
  <c r="BO78" i="2"/>
  <c r="BM78" i="2"/>
  <c r="BL78" i="2"/>
  <c r="BK78" i="2"/>
  <c r="BJ78" i="2"/>
  <c r="BI78" i="2"/>
  <c r="BH78" i="2"/>
  <c r="BG78" i="2"/>
  <c r="BF78" i="2"/>
  <c r="BE78" i="2"/>
  <c r="BD78" i="2"/>
  <c r="BO77" i="2"/>
  <c r="BM77" i="2"/>
  <c r="BL77" i="2"/>
  <c r="BK77" i="2"/>
  <c r="BJ77" i="2"/>
  <c r="BI77" i="2"/>
  <c r="BH77" i="2"/>
  <c r="BG77" i="2"/>
  <c r="BF77" i="2"/>
  <c r="BE77" i="2"/>
  <c r="BD77" i="2"/>
  <c r="BL76" i="2"/>
  <c r="BK76" i="2"/>
  <c r="BJ76" i="2"/>
  <c r="BI76" i="2"/>
  <c r="BH76" i="2"/>
  <c r="BF76" i="2"/>
  <c r="BE76" i="2"/>
  <c r="BD76" i="2"/>
  <c r="BO75" i="2"/>
  <c r="BM75" i="2"/>
  <c r="BL75" i="2"/>
  <c r="BK75" i="2"/>
  <c r="BJ75" i="2"/>
  <c r="BI75" i="2"/>
  <c r="BH75" i="2"/>
  <c r="BG75" i="2"/>
  <c r="BD75" i="2"/>
  <c r="BO74" i="2"/>
  <c r="BM74" i="2"/>
  <c r="BL74" i="2"/>
  <c r="BK74" i="2"/>
  <c r="BJ74" i="2"/>
  <c r="BI74" i="2"/>
  <c r="BH74" i="2"/>
  <c r="BG74" i="2"/>
  <c r="BF74" i="2"/>
  <c r="BE74" i="2"/>
  <c r="BD74" i="2"/>
  <c r="BO73" i="2"/>
  <c r="BM73" i="2"/>
  <c r="BL73" i="2"/>
  <c r="BJ73" i="2"/>
  <c r="BI73" i="2"/>
  <c r="BG73" i="2"/>
  <c r="BF73" i="2"/>
  <c r="BE73" i="2"/>
  <c r="BD73" i="2"/>
  <c r="BO72" i="2"/>
  <c r="BM72" i="2"/>
  <c r="BL72" i="2"/>
  <c r="BK72" i="2"/>
  <c r="BJ72" i="2"/>
  <c r="BH72" i="2"/>
  <c r="BG72" i="2"/>
  <c r="BF72" i="2"/>
  <c r="BE72" i="2"/>
  <c r="BO65" i="2"/>
  <c r="BM65" i="2"/>
  <c r="BL65" i="2"/>
  <c r="BK65" i="2"/>
  <c r="BJ65" i="2"/>
  <c r="BI65" i="2"/>
  <c r="BH65" i="2"/>
  <c r="BG65" i="2"/>
  <c r="BF65" i="2"/>
  <c r="BE65" i="2"/>
  <c r="BD65" i="2"/>
  <c r="BO64" i="2"/>
  <c r="BM64" i="2"/>
  <c r="BL64" i="2"/>
  <c r="BK64" i="2"/>
  <c r="BJ64" i="2"/>
  <c r="BI64" i="2"/>
  <c r="BH64" i="2"/>
  <c r="BG64" i="2"/>
  <c r="BF64" i="2"/>
  <c r="BE64" i="2"/>
  <c r="BD64" i="2"/>
  <c r="BO63" i="2"/>
  <c r="BM63" i="2"/>
  <c r="BL63" i="2"/>
  <c r="BK63" i="2"/>
  <c r="BJ63" i="2"/>
  <c r="BI63" i="2"/>
  <c r="BH63" i="2"/>
  <c r="BG63" i="2"/>
  <c r="BF63" i="2"/>
  <c r="BE63" i="2"/>
  <c r="BD63" i="2"/>
  <c r="BO62" i="2"/>
  <c r="BM62" i="2"/>
  <c r="BL62" i="2"/>
  <c r="BK62" i="2"/>
  <c r="BJ62" i="2"/>
  <c r="BI62" i="2"/>
  <c r="BH62" i="2"/>
  <c r="BG62" i="2"/>
  <c r="BF62" i="2"/>
  <c r="BE62" i="2"/>
  <c r="BD62" i="2"/>
  <c r="BO61" i="2"/>
  <c r="BM61" i="2"/>
  <c r="BL61" i="2"/>
  <c r="BK61" i="2"/>
  <c r="BJ61" i="2"/>
  <c r="BI61" i="2"/>
  <c r="BH61" i="2"/>
  <c r="BG61" i="2"/>
  <c r="BF61" i="2"/>
  <c r="BD61" i="2"/>
  <c r="BO60" i="2"/>
  <c r="BM60" i="2"/>
  <c r="BL60" i="2"/>
  <c r="BK60" i="2"/>
  <c r="BJ60" i="2"/>
  <c r="BI60" i="2"/>
  <c r="BH60" i="2"/>
  <c r="BG60" i="2"/>
  <c r="BF60" i="2"/>
  <c r="BE60" i="2"/>
  <c r="BD60" i="2"/>
  <c r="BO59" i="2"/>
  <c r="BM59" i="2"/>
  <c r="BL59" i="2"/>
  <c r="BK59" i="2"/>
  <c r="BJ59" i="2"/>
  <c r="BI59" i="2"/>
  <c r="BH59" i="2"/>
  <c r="BG59" i="2"/>
  <c r="BF59" i="2"/>
  <c r="BE59" i="2"/>
  <c r="BD59" i="2"/>
  <c r="BO58" i="2"/>
  <c r="BM58" i="2"/>
  <c r="BL58" i="2"/>
  <c r="BK58" i="2"/>
  <c r="BJ58" i="2"/>
  <c r="BI58" i="2"/>
  <c r="BH58" i="2"/>
  <c r="BG58" i="2"/>
  <c r="BF58" i="2"/>
  <c r="BE58" i="2"/>
  <c r="BD58" i="2"/>
  <c r="BO57" i="2"/>
  <c r="BM57" i="2"/>
  <c r="BL57" i="2"/>
  <c r="BK57" i="2"/>
  <c r="BJ57" i="2"/>
  <c r="BI57" i="2"/>
  <c r="BH57" i="2"/>
  <c r="BG57" i="2"/>
  <c r="BF57" i="2"/>
  <c r="BE57" i="2"/>
  <c r="BD57" i="2"/>
  <c r="BO56" i="2"/>
  <c r="BM56" i="2"/>
  <c r="BL56" i="2"/>
  <c r="BK56" i="2"/>
  <c r="BJ56" i="2"/>
  <c r="BI56" i="2"/>
  <c r="BH56" i="2"/>
  <c r="BG56" i="2"/>
  <c r="BF56" i="2"/>
  <c r="BE56" i="2"/>
  <c r="BD56" i="2"/>
  <c r="BO55" i="2"/>
  <c r="BM55" i="2"/>
  <c r="BL55" i="2"/>
  <c r="BK55" i="2"/>
  <c r="BJ55" i="2"/>
  <c r="BI55" i="2"/>
  <c r="BH55" i="2"/>
  <c r="BG55" i="2"/>
  <c r="BF55" i="2"/>
  <c r="BE55" i="2"/>
  <c r="BD55" i="2"/>
  <c r="BO54" i="2"/>
  <c r="BM54" i="2"/>
  <c r="BL54" i="2"/>
  <c r="BK54" i="2"/>
  <c r="BJ54" i="2"/>
  <c r="BI54" i="2"/>
  <c r="BH54" i="2"/>
  <c r="BG54" i="2"/>
  <c r="BF54" i="2"/>
  <c r="BE54" i="2"/>
  <c r="BD54" i="2"/>
  <c r="BO53" i="2"/>
  <c r="BM53" i="2"/>
  <c r="BL53" i="2"/>
  <c r="BK53" i="2"/>
  <c r="BJ53" i="2"/>
  <c r="BI53" i="2"/>
  <c r="BH53" i="2"/>
  <c r="BG53" i="2"/>
  <c r="BF53" i="2"/>
  <c r="BE53" i="2"/>
  <c r="BD53" i="2"/>
  <c r="BO48" i="2"/>
  <c r="BM48" i="2"/>
  <c r="BL48" i="2"/>
  <c r="BK48" i="2"/>
  <c r="BJ48" i="2"/>
  <c r="BI48" i="2"/>
  <c r="BH48" i="2"/>
  <c r="BG48" i="2"/>
  <c r="BF48" i="2"/>
  <c r="BE48" i="2"/>
  <c r="BD48" i="2"/>
  <c r="BO47" i="2"/>
  <c r="BM47" i="2"/>
  <c r="BL47" i="2"/>
  <c r="BK47" i="2"/>
  <c r="BJ47" i="2"/>
  <c r="BI47" i="2"/>
  <c r="BH47" i="2"/>
  <c r="BG47" i="2"/>
  <c r="BF47" i="2"/>
  <c r="BE47" i="2"/>
  <c r="BD47" i="2"/>
  <c r="BO46" i="2"/>
  <c r="BM46" i="2"/>
  <c r="BL46" i="2"/>
  <c r="BK46" i="2"/>
  <c r="BJ46" i="2"/>
  <c r="BI46" i="2"/>
  <c r="BH46" i="2"/>
  <c r="BG46" i="2"/>
  <c r="BF46" i="2"/>
  <c r="BE46" i="2"/>
  <c r="BD46" i="2"/>
  <c r="BO45" i="2"/>
  <c r="BM45" i="2"/>
  <c r="BL45" i="2"/>
  <c r="BK45" i="2"/>
  <c r="BJ45" i="2"/>
  <c r="BI45" i="2"/>
  <c r="BH45" i="2"/>
  <c r="BG45" i="2"/>
  <c r="BF45" i="2"/>
  <c r="BE45" i="2"/>
  <c r="BD45" i="2"/>
  <c r="BO44" i="2"/>
  <c r="BM44" i="2"/>
  <c r="BL44" i="2"/>
  <c r="BK44" i="2"/>
  <c r="BJ44" i="2"/>
  <c r="BI44" i="2"/>
  <c r="BH44" i="2"/>
  <c r="BG44" i="2"/>
  <c r="BF44" i="2"/>
  <c r="BE44" i="2"/>
  <c r="BD44" i="2"/>
  <c r="BO43" i="2"/>
  <c r="BM43" i="2"/>
  <c r="BL43" i="2"/>
  <c r="BK43" i="2"/>
  <c r="BJ43" i="2"/>
  <c r="BI43" i="2"/>
  <c r="BH43" i="2"/>
  <c r="BG43" i="2"/>
  <c r="BF43" i="2"/>
  <c r="BE43" i="2"/>
  <c r="BD43" i="2"/>
  <c r="BO42" i="2"/>
  <c r="BM42" i="2"/>
  <c r="BL42" i="2"/>
  <c r="BK42" i="2"/>
  <c r="BJ42" i="2"/>
  <c r="BI42" i="2"/>
  <c r="BH42" i="2"/>
  <c r="BG42" i="2"/>
  <c r="BF42" i="2"/>
  <c r="BE42" i="2"/>
  <c r="BD42" i="2"/>
  <c r="BO41" i="2"/>
  <c r="BM41" i="2"/>
  <c r="BL41" i="2"/>
  <c r="BK41" i="2"/>
  <c r="BJ41" i="2"/>
  <c r="BI41" i="2"/>
  <c r="BH41" i="2"/>
  <c r="BG41" i="2"/>
  <c r="BF41" i="2"/>
  <c r="BE41" i="2"/>
  <c r="BD41" i="2"/>
  <c r="BD14" i="2"/>
  <c r="BE14" i="2"/>
  <c r="BF14" i="2"/>
  <c r="BG14" i="2"/>
  <c r="BH14" i="2"/>
  <c r="BI14" i="2"/>
  <c r="BJ14" i="2"/>
  <c r="BK14" i="2"/>
  <c r="BL14" i="2"/>
  <c r="BM14" i="2"/>
  <c r="BO14" i="2"/>
  <c r="BD15" i="2"/>
  <c r="BE15" i="2"/>
  <c r="BF15" i="2"/>
  <c r="BG15" i="2"/>
  <c r="BH15" i="2"/>
  <c r="BI15" i="2"/>
  <c r="BJ15" i="2"/>
  <c r="BK15" i="2"/>
  <c r="BL15" i="2"/>
  <c r="BM15" i="2"/>
  <c r="BO15" i="2"/>
  <c r="BD16" i="2"/>
  <c r="BE16" i="2"/>
  <c r="BF16" i="2"/>
  <c r="BG16" i="2"/>
  <c r="BH16" i="2"/>
  <c r="BI16" i="2"/>
  <c r="BJ16" i="2"/>
  <c r="BK16" i="2"/>
  <c r="BL16" i="2"/>
  <c r="BM16" i="2"/>
  <c r="BO16" i="2"/>
  <c r="BD17" i="2"/>
  <c r="BE17" i="2"/>
  <c r="BF17" i="2"/>
  <c r="BG17" i="2"/>
  <c r="BH17" i="2"/>
  <c r="BI17" i="2"/>
  <c r="C17" i="4"/>
  <c r="BJ17" i="2"/>
  <c r="BK17" i="2"/>
  <c r="BL17" i="2"/>
  <c r="BM17" i="2"/>
  <c r="BO17" i="2"/>
  <c r="BD18" i="2"/>
  <c r="BE18" i="2"/>
  <c r="BF18" i="2"/>
  <c r="BG18" i="2"/>
  <c r="BH18" i="2"/>
  <c r="BI18" i="2"/>
  <c r="BJ18" i="2"/>
  <c r="BL18" i="2"/>
  <c r="BM18" i="2"/>
  <c r="BO18" i="2"/>
  <c r="BD19" i="2"/>
  <c r="BE19" i="2"/>
  <c r="BF19" i="2"/>
  <c r="BG19" i="2"/>
  <c r="BH19" i="2"/>
  <c r="BI19" i="2"/>
  <c r="BJ19" i="2"/>
  <c r="BK19" i="2"/>
  <c r="BL19" i="2"/>
  <c r="BM19" i="2"/>
  <c r="BO19" i="2"/>
  <c r="BD20" i="2"/>
  <c r="BE20" i="2"/>
  <c r="BF20" i="2"/>
  <c r="BG20" i="2"/>
  <c r="BH20" i="2"/>
  <c r="BI20" i="2"/>
  <c r="BJ20" i="2"/>
  <c r="BK20" i="2"/>
  <c r="BL20" i="2"/>
  <c r="BM20" i="2"/>
  <c r="BO20" i="2"/>
  <c r="BD21" i="2"/>
  <c r="BE21" i="2"/>
  <c r="BF21" i="2"/>
  <c r="BG21" i="2"/>
  <c r="BH21" i="2"/>
  <c r="BI21" i="2"/>
  <c r="BJ21" i="2"/>
  <c r="BK21" i="2"/>
  <c r="BL21" i="2"/>
  <c r="BM21" i="2"/>
  <c r="BO21" i="2"/>
  <c r="BD22" i="2"/>
  <c r="BE22" i="2"/>
  <c r="BF22" i="2"/>
  <c r="BG22" i="2"/>
  <c r="BH22" i="2"/>
  <c r="BI22" i="2"/>
  <c r="BJ22" i="2"/>
  <c r="BK22" i="2"/>
  <c r="BL22" i="2"/>
  <c r="BM22" i="2"/>
  <c r="BO22" i="2"/>
  <c r="BD23" i="2"/>
  <c r="BE23" i="2"/>
  <c r="BF23" i="2"/>
  <c r="BG23" i="2"/>
  <c r="BH23" i="2"/>
  <c r="BI23" i="2"/>
  <c r="BJ23" i="2"/>
  <c r="BK23" i="2"/>
  <c r="BL23" i="2"/>
  <c r="BM23" i="2"/>
  <c r="BO23" i="2"/>
  <c r="BD24" i="2"/>
  <c r="BE24" i="2"/>
  <c r="BF24" i="2"/>
  <c r="BG24" i="2"/>
  <c r="BH24" i="2"/>
  <c r="BI24" i="2"/>
  <c r="BJ24" i="2"/>
  <c r="BK24" i="2"/>
  <c r="BL24" i="2"/>
  <c r="BM24" i="2"/>
  <c r="BO24" i="2"/>
  <c r="BD25" i="2"/>
  <c r="BE25" i="2"/>
  <c r="BF25" i="2"/>
  <c r="BG25" i="2"/>
  <c r="BH25" i="2"/>
  <c r="BI25" i="2"/>
  <c r="BJ25" i="2"/>
  <c r="BK25" i="2"/>
  <c r="BL25" i="2"/>
  <c r="BM25" i="2"/>
  <c r="BO25" i="2"/>
  <c r="BD26" i="2"/>
  <c r="BE26" i="2"/>
  <c r="BF26" i="2"/>
  <c r="BG26" i="2"/>
  <c r="BH26" i="2"/>
  <c r="BI26" i="2"/>
  <c r="BJ26" i="2"/>
  <c r="BK26" i="2"/>
  <c r="BL26" i="2"/>
  <c r="BM26" i="2"/>
  <c r="BO26" i="2"/>
  <c r="BD27" i="2"/>
  <c r="BE27" i="2"/>
  <c r="BF27" i="2"/>
  <c r="BG27" i="2"/>
  <c r="BH27" i="2"/>
  <c r="BI27" i="2"/>
  <c r="BJ27" i="2"/>
  <c r="BK27" i="2"/>
  <c r="BL27" i="2"/>
  <c r="BM27" i="2"/>
  <c r="BO27" i="2"/>
  <c r="BD28" i="2"/>
  <c r="BE28" i="2"/>
  <c r="BF28" i="2"/>
  <c r="BG28" i="2"/>
  <c r="BH28" i="2"/>
  <c r="BI28" i="2"/>
  <c r="BJ28" i="2"/>
  <c r="BK28" i="2"/>
  <c r="BL28" i="2"/>
  <c r="BM28" i="2"/>
  <c r="BO28" i="2"/>
  <c r="BD29" i="2"/>
  <c r="BE29" i="2"/>
  <c r="BF29" i="2"/>
  <c r="BG29" i="2"/>
  <c r="BH29" i="2"/>
  <c r="BI29" i="2"/>
  <c r="BJ29" i="2"/>
  <c r="BK29" i="2"/>
  <c r="BL29" i="2"/>
  <c r="BM29" i="2"/>
  <c r="BO29" i="2"/>
  <c r="BD30" i="2"/>
  <c r="BE30" i="2"/>
  <c r="BF30" i="2"/>
  <c r="BG30" i="2"/>
  <c r="BH30" i="2"/>
  <c r="BI30" i="2"/>
  <c r="BJ30" i="2"/>
  <c r="BK30" i="2"/>
  <c r="BL30" i="2"/>
  <c r="BM30" i="2"/>
  <c r="BO30" i="2"/>
  <c r="BD31" i="2"/>
  <c r="BE31" i="2"/>
  <c r="BF31" i="2"/>
  <c r="BG31" i="2"/>
  <c r="BH31" i="2"/>
  <c r="BI31" i="2"/>
  <c r="BJ31" i="2"/>
  <c r="BK31" i="2"/>
  <c r="BL31" i="2"/>
  <c r="BM31" i="2"/>
  <c r="BO31" i="2"/>
  <c r="BD32" i="2"/>
  <c r="BE32" i="2"/>
  <c r="BF32" i="2"/>
  <c r="BG32" i="2"/>
  <c r="BH32" i="2"/>
  <c r="BI32" i="2"/>
  <c r="BJ32" i="2"/>
  <c r="BK32" i="2"/>
  <c r="BL32" i="2"/>
  <c r="BM32" i="2"/>
  <c r="BO32" i="2"/>
  <c r="BD33" i="2"/>
  <c r="BE33" i="2"/>
  <c r="BF33" i="2"/>
  <c r="BG33" i="2"/>
  <c r="BH33" i="2"/>
  <c r="BI33" i="2"/>
  <c r="BJ33" i="2"/>
  <c r="BK33" i="2"/>
  <c r="BL33" i="2"/>
  <c r="BM33" i="2"/>
  <c r="BO33" i="2"/>
  <c r="BD34" i="2"/>
  <c r="BE34" i="2"/>
  <c r="BF34" i="2"/>
  <c r="BG34" i="2"/>
  <c r="BH34" i="2"/>
  <c r="BI34" i="2"/>
  <c r="BJ34" i="2"/>
  <c r="BK34" i="2"/>
  <c r="BL34" i="2"/>
  <c r="BM34" i="2"/>
  <c r="BO34" i="2"/>
  <c r="BD35" i="2"/>
  <c r="BE35" i="2"/>
  <c r="BF35" i="2"/>
  <c r="BG35" i="2"/>
  <c r="BH35" i="2"/>
  <c r="BI35" i="2"/>
  <c r="BJ35" i="2"/>
  <c r="BK35" i="2"/>
  <c r="BL35" i="2"/>
  <c r="BM35" i="2"/>
  <c r="BO35" i="2"/>
  <c r="BD36" i="2"/>
  <c r="BE36" i="2"/>
  <c r="BF36" i="2"/>
  <c r="BG36" i="2"/>
  <c r="BH36" i="2"/>
  <c r="BI36" i="2"/>
  <c r="BJ36" i="2"/>
  <c r="BK36" i="2"/>
  <c r="BL36" i="2"/>
  <c r="BM36" i="2"/>
  <c r="BO36" i="2"/>
  <c r="BD37" i="2"/>
  <c r="BE37" i="2"/>
  <c r="BF37" i="2"/>
  <c r="BG37" i="2"/>
  <c r="BH37" i="2"/>
  <c r="BI37" i="2"/>
  <c r="BJ37" i="2"/>
  <c r="BK37" i="2"/>
  <c r="BL37" i="2"/>
  <c r="BM37" i="2"/>
  <c r="BO37" i="2"/>
  <c r="BM13" i="2"/>
  <c r="BO13" i="2"/>
  <c r="BL13" i="2"/>
  <c r="BK13" i="2"/>
  <c r="BJ13" i="2"/>
  <c r="BI13" i="2"/>
  <c r="BH13" i="2"/>
  <c r="BG13" i="2"/>
  <c r="BF13" i="2"/>
  <c r="BE13" i="2"/>
  <c r="BD13" i="2"/>
  <c r="Q99" i="17"/>
  <c r="Q94" i="17"/>
  <c r="Q93" i="17"/>
  <c r="Q88" i="17"/>
  <c r="Q66" i="17"/>
  <c r="Q68" i="17"/>
  <c r="AW185" i="21"/>
  <c r="AV185" i="21"/>
  <c r="AU185" i="21"/>
  <c r="AS185" i="21"/>
  <c r="AR185" i="21"/>
  <c r="AQ185" i="21"/>
  <c r="AP185" i="21"/>
  <c r="AW184" i="21"/>
  <c r="AV184" i="21"/>
  <c r="AU184" i="21"/>
  <c r="AS184" i="21"/>
  <c r="AR184" i="21"/>
  <c r="AQ184" i="21"/>
  <c r="AP184" i="21"/>
  <c r="AZ183" i="21"/>
  <c r="AW183" i="21"/>
  <c r="AV183" i="21"/>
  <c r="AU183" i="21"/>
  <c r="AS183" i="21"/>
  <c r="AR183" i="21"/>
  <c r="AQ183" i="21"/>
  <c r="AP183" i="21"/>
  <c r="AZ182" i="21"/>
  <c r="AW182" i="21"/>
  <c r="AV182" i="21"/>
  <c r="AU182" i="21"/>
  <c r="AS182" i="21"/>
  <c r="AR182" i="21"/>
  <c r="AQ182" i="21"/>
  <c r="AP182" i="21"/>
  <c r="AZ181" i="21"/>
  <c r="AW181" i="21"/>
  <c r="AV181" i="21"/>
  <c r="AU181" i="21"/>
  <c r="AS181" i="21"/>
  <c r="AR181" i="21"/>
  <c r="AQ181" i="21"/>
  <c r="AP181" i="21"/>
  <c r="AZ180" i="21"/>
  <c r="AW180" i="21"/>
  <c r="AV180" i="21"/>
  <c r="AU180" i="21"/>
  <c r="AS180" i="21"/>
  <c r="AR180" i="21"/>
  <c r="AQ180" i="21"/>
  <c r="AP180" i="21"/>
  <c r="AZ179" i="21"/>
  <c r="AW179" i="21"/>
  <c r="AV179" i="21"/>
  <c r="AU179" i="21"/>
  <c r="AS179" i="21"/>
  <c r="AR179" i="21"/>
  <c r="AQ179" i="21"/>
  <c r="AP179" i="21"/>
  <c r="AZ178" i="21"/>
  <c r="AW178" i="21"/>
  <c r="AV178" i="21"/>
  <c r="AU178" i="21"/>
  <c r="AS178" i="21"/>
  <c r="AR178" i="21"/>
  <c r="AQ178" i="21"/>
  <c r="AP178" i="21"/>
  <c r="AZ177" i="21"/>
  <c r="AW177" i="21"/>
  <c r="AV177" i="21"/>
  <c r="AU177" i="21"/>
  <c r="AS177" i="21"/>
  <c r="AR177" i="21"/>
  <c r="AQ177" i="21"/>
  <c r="AP177" i="21"/>
  <c r="AZ176" i="21"/>
  <c r="AW176" i="21"/>
  <c r="AV176" i="21"/>
  <c r="AU176" i="21"/>
  <c r="AS176" i="21"/>
  <c r="AR176" i="21"/>
  <c r="AQ176" i="21"/>
  <c r="AP176" i="21"/>
  <c r="AZ170" i="21"/>
  <c r="AW170" i="21"/>
  <c r="AV170" i="21"/>
  <c r="AU170" i="21"/>
  <c r="AS170" i="21"/>
  <c r="AR170" i="21"/>
  <c r="AQ170" i="21"/>
  <c r="AP170" i="21"/>
  <c r="AZ169" i="21"/>
  <c r="AW169" i="21"/>
  <c r="AV169" i="21"/>
  <c r="AU169" i="21"/>
  <c r="AS169" i="21"/>
  <c r="AR169" i="21"/>
  <c r="AQ169" i="21"/>
  <c r="AP169" i="21"/>
  <c r="AZ168" i="21"/>
  <c r="AW168" i="21"/>
  <c r="AV168" i="21"/>
  <c r="AU168" i="21"/>
  <c r="AS168" i="21"/>
  <c r="AR168" i="21"/>
  <c r="AQ168" i="21"/>
  <c r="AP168" i="21"/>
  <c r="AZ167" i="21"/>
  <c r="AW167" i="21"/>
  <c r="AV167" i="21"/>
  <c r="AU167" i="21"/>
  <c r="AS167" i="21"/>
  <c r="AR167" i="21"/>
  <c r="AQ167" i="21"/>
  <c r="AP167" i="21"/>
  <c r="AZ166" i="21"/>
  <c r="AW166" i="21"/>
  <c r="AV166" i="21"/>
  <c r="AU166" i="21"/>
  <c r="AS166" i="21"/>
  <c r="AR166" i="21"/>
  <c r="AQ166" i="21"/>
  <c r="AP166" i="21"/>
  <c r="AZ165" i="21"/>
  <c r="AW165" i="21"/>
  <c r="AV165" i="21"/>
  <c r="AU165" i="21"/>
  <c r="AS165" i="21"/>
  <c r="AR165" i="21"/>
  <c r="AQ165" i="21"/>
  <c r="AP165" i="21"/>
  <c r="AZ164" i="21"/>
  <c r="AW164" i="21"/>
  <c r="E164" i="4"/>
  <c r="AV164" i="21"/>
  <c r="AU164" i="21"/>
  <c r="AS164" i="21"/>
  <c r="AR164" i="21"/>
  <c r="AQ164" i="21"/>
  <c r="AP164" i="21"/>
  <c r="AZ163" i="21"/>
  <c r="AW163" i="21"/>
  <c r="AV163" i="21"/>
  <c r="AU163" i="21"/>
  <c r="AS163" i="21"/>
  <c r="AR163" i="21"/>
  <c r="AQ163" i="21"/>
  <c r="AP163" i="21"/>
  <c r="AZ162" i="21"/>
  <c r="AW162" i="21"/>
  <c r="AV162" i="21"/>
  <c r="AU162" i="21"/>
  <c r="AS162" i="21"/>
  <c r="AR162" i="21"/>
  <c r="AQ162" i="21"/>
  <c r="AP162" i="21"/>
  <c r="AW161" i="21"/>
  <c r="AV161" i="21"/>
  <c r="AU161" i="21"/>
  <c r="AS161" i="21"/>
  <c r="AR161" i="21"/>
  <c r="AQ161" i="21"/>
  <c r="AP161" i="21"/>
  <c r="AZ160" i="21"/>
  <c r="AW160" i="21"/>
  <c r="AV160" i="21"/>
  <c r="AU160" i="21"/>
  <c r="AS160" i="21"/>
  <c r="AR160" i="21"/>
  <c r="AQ160" i="21"/>
  <c r="AP160" i="21"/>
  <c r="AZ159" i="21"/>
  <c r="AW159" i="21"/>
  <c r="AV159" i="21"/>
  <c r="AU159" i="21"/>
  <c r="AS159" i="21"/>
  <c r="AR159" i="21"/>
  <c r="AQ159" i="21"/>
  <c r="AP159" i="21"/>
  <c r="AZ158" i="21"/>
  <c r="AW158" i="21"/>
  <c r="E158" i="4"/>
  <c r="AV158" i="21"/>
  <c r="AU158" i="21"/>
  <c r="AW154" i="21"/>
  <c r="AV154" i="21"/>
  <c r="AU154" i="21"/>
  <c r="AW149" i="21"/>
  <c r="AV149" i="21"/>
  <c r="AU149" i="21"/>
  <c r="AS149" i="21"/>
  <c r="AR149" i="21"/>
  <c r="AQ149" i="21"/>
  <c r="AP149" i="21"/>
  <c r="AZ148" i="21"/>
  <c r="AW148" i="21"/>
  <c r="AV148" i="21"/>
  <c r="AU148" i="21"/>
  <c r="AS148" i="21"/>
  <c r="AR148" i="21"/>
  <c r="AQ148" i="21"/>
  <c r="AP148" i="21"/>
  <c r="AW147" i="21"/>
  <c r="AV147" i="21"/>
  <c r="AU147" i="21"/>
  <c r="AS147" i="21"/>
  <c r="AR147" i="21"/>
  <c r="AQ147" i="21"/>
  <c r="AP147" i="21"/>
  <c r="AZ146" i="21"/>
  <c r="AV146" i="21"/>
  <c r="AU146" i="21"/>
  <c r="AP146" i="21"/>
  <c r="AZ145" i="21"/>
  <c r="AW145" i="21"/>
  <c r="AV145" i="21"/>
  <c r="AU145" i="21"/>
  <c r="AS145" i="21"/>
  <c r="AR145" i="21"/>
  <c r="AQ145" i="21"/>
  <c r="AP145" i="21"/>
  <c r="AZ144" i="21"/>
  <c r="AW144" i="21"/>
  <c r="AV144" i="21"/>
  <c r="AU144" i="21"/>
  <c r="AS144" i="21"/>
  <c r="AR144" i="21"/>
  <c r="AQ144" i="21"/>
  <c r="AP144" i="21"/>
  <c r="AZ140" i="21"/>
  <c r="AW140" i="21"/>
  <c r="AV140" i="21"/>
  <c r="AU140" i="21"/>
  <c r="AS140" i="21"/>
  <c r="AR140" i="21"/>
  <c r="AQ140" i="21"/>
  <c r="AP140" i="21"/>
  <c r="AZ139" i="21"/>
  <c r="AW139" i="21"/>
  <c r="AV139" i="21"/>
  <c r="AU139" i="21"/>
  <c r="AS139" i="21"/>
  <c r="AR139" i="21"/>
  <c r="AQ139" i="21"/>
  <c r="AP139" i="21"/>
  <c r="AZ138" i="21"/>
  <c r="AV138" i="21"/>
  <c r="AU138" i="21"/>
  <c r="AS138" i="21"/>
  <c r="AR138" i="21"/>
  <c r="AQ138" i="21"/>
  <c r="AP138" i="21"/>
  <c r="AZ137" i="21"/>
  <c r="AV137" i="21"/>
  <c r="AU137" i="21"/>
  <c r="AS137" i="21"/>
  <c r="AR137" i="21"/>
  <c r="AQ137" i="21"/>
  <c r="AP137" i="21"/>
  <c r="AZ132" i="21"/>
  <c r="AW132" i="21"/>
  <c r="AV132" i="21"/>
  <c r="AU132" i="21"/>
  <c r="AS132" i="21"/>
  <c r="AR132" i="21"/>
  <c r="AQ132" i="21"/>
  <c r="AP132" i="21"/>
  <c r="AZ131" i="21"/>
  <c r="AW131" i="21"/>
  <c r="AV131" i="21"/>
  <c r="AU131" i="21"/>
  <c r="AS131" i="21"/>
  <c r="AR131" i="21"/>
  <c r="AQ131" i="21"/>
  <c r="AP131" i="21"/>
  <c r="AZ130" i="21"/>
  <c r="AW130" i="21"/>
  <c r="AV130" i="21"/>
  <c r="AU130" i="21"/>
  <c r="AS130" i="21"/>
  <c r="AR130" i="21"/>
  <c r="AQ130" i="21"/>
  <c r="AP130" i="21"/>
  <c r="AZ129" i="21"/>
  <c r="AW129" i="21"/>
  <c r="AV129" i="21"/>
  <c r="AU129" i="21"/>
  <c r="AS129" i="21"/>
  <c r="AR129" i="21"/>
  <c r="AQ129" i="21"/>
  <c r="AP129" i="21"/>
  <c r="AZ128" i="21"/>
  <c r="AW128" i="21"/>
  <c r="AV128" i="21"/>
  <c r="AU128" i="21"/>
  <c r="AS128" i="21"/>
  <c r="AR128" i="21"/>
  <c r="AQ128" i="21"/>
  <c r="AP128" i="21"/>
  <c r="AZ127" i="21"/>
  <c r="AW127" i="21"/>
  <c r="AV127" i="21"/>
  <c r="AU127" i="21"/>
  <c r="AS127" i="21"/>
  <c r="AR127" i="21"/>
  <c r="AQ127" i="21"/>
  <c r="AP127" i="21"/>
  <c r="AZ126" i="21"/>
  <c r="AV126" i="21"/>
  <c r="AU126" i="21"/>
  <c r="AS126" i="21"/>
  <c r="AR126" i="21"/>
  <c r="AQ126" i="21"/>
  <c r="AP126" i="21"/>
  <c r="AZ125" i="21"/>
  <c r="AW125" i="21"/>
  <c r="AV125" i="21"/>
  <c r="AU125" i="21"/>
  <c r="AS125" i="21"/>
  <c r="AR125" i="21"/>
  <c r="AQ125" i="21"/>
  <c r="AP125" i="21"/>
  <c r="AZ121" i="21"/>
  <c r="AW121" i="21"/>
  <c r="AV121" i="21"/>
  <c r="AU121" i="21"/>
  <c r="AS121" i="21"/>
  <c r="AR121" i="21"/>
  <c r="AQ121" i="21"/>
  <c r="AP121" i="21"/>
  <c r="AZ120" i="21"/>
  <c r="AW120" i="21"/>
  <c r="AV120" i="21"/>
  <c r="AU120" i="21"/>
  <c r="AS120" i="21"/>
  <c r="AR120" i="21"/>
  <c r="AQ120" i="21"/>
  <c r="AP120" i="21"/>
  <c r="AZ119" i="21"/>
  <c r="AW119" i="21"/>
  <c r="AV119" i="21"/>
  <c r="AU119" i="21"/>
  <c r="AS119" i="21"/>
  <c r="AR119" i="21"/>
  <c r="AQ119" i="21"/>
  <c r="AP119" i="21"/>
  <c r="AZ118" i="21"/>
  <c r="AW118" i="21"/>
  <c r="AV118" i="21"/>
  <c r="AU118" i="21"/>
  <c r="AS118" i="21"/>
  <c r="AR118" i="21"/>
  <c r="AQ118" i="21"/>
  <c r="AP118" i="21"/>
  <c r="AZ117" i="21"/>
  <c r="AW117" i="21"/>
  <c r="AV117" i="21"/>
  <c r="AU117" i="21"/>
  <c r="AS117" i="21"/>
  <c r="AR117" i="21"/>
  <c r="AQ117" i="21"/>
  <c r="AP117" i="21"/>
  <c r="AZ116" i="21"/>
  <c r="AW116" i="21"/>
  <c r="AV116" i="21"/>
  <c r="AU116" i="21"/>
  <c r="AS116" i="21"/>
  <c r="AR116" i="21"/>
  <c r="AQ116" i="21"/>
  <c r="AP116" i="21"/>
  <c r="AZ115" i="21"/>
  <c r="AW115" i="21"/>
  <c r="AV115" i="21"/>
  <c r="AU115" i="21"/>
  <c r="AS115" i="21"/>
  <c r="AR115" i="21"/>
  <c r="AQ115" i="21"/>
  <c r="AP115" i="21"/>
  <c r="AZ114" i="21"/>
  <c r="AW114" i="21"/>
  <c r="AV114" i="21"/>
  <c r="AU114" i="21"/>
  <c r="AS114" i="21"/>
  <c r="AR114" i="21"/>
  <c r="AQ114" i="21"/>
  <c r="AP114" i="21"/>
  <c r="AZ113" i="21"/>
  <c r="AW113" i="21"/>
  <c r="AV113" i="21"/>
  <c r="AU113" i="21"/>
  <c r="AS113" i="21"/>
  <c r="AR113" i="21"/>
  <c r="AQ113" i="21"/>
  <c r="AP113" i="21"/>
  <c r="AZ112" i="21"/>
  <c r="AW112" i="21"/>
  <c r="AV112" i="21"/>
  <c r="AU112" i="21"/>
  <c r="AS112" i="21"/>
  <c r="AR112" i="21"/>
  <c r="AQ112" i="21"/>
  <c r="AP112" i="21"/>
  <c r="AZ111" i="21"/>
  <c r="AW111" i="21"/>
  <c r="AV111" i="21"/>
  <c r="AW110" i="21"/>
  <c r="AV110" i="21"/>
  <c r="AU110" i="21"/>
  <c r="AS110" i="21"/>
  <c r="AR110" i="21"/>
  <c r="AQ110" i="21"/>
  <c r="AP110" i="21"/>
  <c r="AZ109" i="21"/>
  <c r="AW109" i="21"/>
  <c r="AV109" i="21"/>
  <c r="AU109" i="21"/>
  <c r="AS109" i="21"/>
  <c r="AP109" i="21"/>
  <c r="AZ108" i="21"/>
  <c r="AW108" i="21"/>
  <c r="AV108" i="21"/>
  <c r="AU108" i="21"/>
  <c r="AS108" i="21"/>
  <c r="AR108" i="21"/>
  <c r="AQ108" i="21"/>
  <c r="AP108" i="21"/>
  <c r="E88" i="4"/>
  <c r="E73" i="4"/>
  <c r="E80" i="4"/>
  <c r="E101" i="4"/>
  <c r="AV101" i="21"/>
  <c r="AZ100" i="21"/>
  <c r="AW100" i="21"/>
  <c r="AV100" i="21"/>
  <c r="AU100" i="21"/>
  <c r="AS100" i="21"/>
  <c r="AR100" i="21"/>
  <c r="AQ100" i="21"/>
  <c r="AP100" i="21"/>
  <c r="E99" i="4"/>
  <c r="AV99" i="21"/>
  <c r="E98" i="4"/>
  <c r="AV98" i="21"/>
  <c r="E97" i="4"/>
  <c r="AV97" i="21"/>
  <c r="E96" i="4"/>
  <c r="AV96" i="21"/>
  <c r="E95" i="4"/>
  <c r="AV95" i="21"/>
  <c r="AV94" i="21"/>
  <c r="AV93" i="21"/>
  <c r="AZ87" i="21"/>
  <c r="AW87" i="21"/>
  <c r="AV87" i="21"/>
  <c r="AU87" i="21"/>
  <c r="AS87" i="21"/>
  <c r="AR87" i="21"/>
  <c r="AQ87" i="21"/>
  <c r="AP87" i="21"/>
  <c r="AZ86" i="21"/>
  <c r="AW86" i="21"/>
  <c r="AV86" i="21"/>
  <c r="AU86" i="21"/>
  <c r="AS86" i="21"/>
  <c r="AR86" i="21"/>
  <c r="AQ86" i="21"/>
  <c r="AZ85" i="21"/>
  <c r="AW85" i="21"/>
  <c r="AV85" i="21"/>
  <c r="AU85" i="21"/>
  <c r="AS85" i="21"/>
  <c r="AR85" i="21"/>
  <c r="AQ85" i="21"/>
  <c r="AP85" i="21"/>
  <c r="AZ84" i="21"/>
  <c r="AW84" i="21"/>
  <c r="AV84" i="21"/>
  <c r="AU84" i="21"/>
  <c r="AS84" i="21"/>
  <c r="AR84" i="21"/>
  <c r="AQ84" i="21"/>
  <c r="AP84" i="21"/>
  <c r="AZ79" i="21"/>
  <c r="AW79" i="21"/>
  <c r="AV79" i="21"/>
  <c r="AU79" i="21"/>
  <c r="AS79" i="21"/>
  <c r="AR79" i="21"/>
  <c r="AQ79" i="21"/>
  <c r="AP79" i="21"/>
  <c r="AZ78" i="21"/>
  <c r="AW78" i="21"/>
  <c r="AV78" i="21"/>
  <c r="AU78" i="21"/>
  <c r="AS78" i="21"/>
  <c r="AR78" i="21"/>
  <c r="AQ78" i="21"/>
  <c r="AP78" i="21"/>
  <c r="AZ77" i="21"/>
  <c r="AW77" i="21"/>
  <c r="AV77" i="21"/>
  <c r="AU77" i="21"/>
  <c r="AS77" i="21"/>
  <c r="AR77" i="21"/>
  <c r="AQ77" i="21"/>
  <c r="AP77" i="21"/>
  <c r="AW76" i="21"/>
  <c r="AV76" i="21"/>
  <c r="AU76" i="21"/>
  <c r="AR76" i="21"/>
  <c r="AQ76" i="21"/>
  <c r="AP76" i="21"/>
  <c r="AZ75" i="21"/>
  <c r="AW75" i="21"/>
  <c r="AV75" i="21"/>
  <c r="AU75" i="21"/>
  <c r="AS75" i="21"/>
  <c r="AP75" i="21"/>
  <c r="AZ74" i="21"/>
  <c r="AW74" i="21"/>
  <c r="AV74" i="21"/>
  <c r="AU74" i="21"/>
  <c r="AS74" i="21"/>
  <c r="AR74" i="21"/>
  <c r="AQ74" i="21"/>
  <c r="AP74" i="21"/>
  <c r="AZ73" i="21"/>
  <c r="AW73" i="21"/>
  <c r="AV73" i="21"/>
  <c r="AU73" i="21"/>
  <c r="AS73" i="21"/>
  <c r="AR73" i="21"/>
  <c r="AQ73" i="21"/>
  <c r="AP73" i="21"/>
  <c r="AZ72" i="21"/>
  <c r="AW72" i="21"/>
  <c r="AV72" i="21"/>
  <c r="AS72" i="21"/>
  <c r="AR72" i="21"/>
  <c r="AQ72" i="21"/>
  <c r="AZ65" i="21"/>
  <c r="AW65" i="21"/>
  <c r="AV65" i="21"/>
  <c r="AU65" i="21"/>
  <c r="AS65" i="21"/>
  <c r="AR65" i="21"/>
  <c r="AQ65" i="21"/>
  <c r="AP65" i="21"/>
  <c r="AZ64" i="21"/>
  <c r="AW64" i="21"/>
  <c r="AV64" i="21"/>
  <c r="AU64" i="21"/>
  <c r="AS64" i="21"/>
  <c r="AR64" i="21"/>
  <c r="AQ64" i="21"/>
  <c r="AP64" i="21"/>
  <c r="AZ63" i="21"/>
  <c r="AW63" i="21"/>
  <c r="AV63" i="21"/>
  <c r="AU63" i="21"/>
  <c r="AS63" i="21"/>
  <c r="AR63" i="21"/>
  <c r="AQ63" i="21"/>
  <c r="AP63" i="21"/>
  <c r="AZ62" i="21"/>
  <c r="AW62" i="21"/>
  <c r="AV62" i="21"/>
  <c r="AU62" i="21"/>
  <c r="AS62" i="21"/>
  <c r="AR62" i="21"/>
  <c r="AQ62" i="21"/>
  <c r="AP62" i="21"/>
  <c r="AZ61" i="21"/>
  <c r="AW61" i="21"/>
  <c r="AV61" i="21"/>
  <c r="AU61" i="21"/>
  <c r="AS61" i="21"/>
  <c r="AR61" i="21"/>
  <c r="AP61" i="21"/>
  <c r="AZ60" i="21"/>
  <c r="AW60" i="21"/>
  <c r="AV60" i="21"/>
  <c r="AU60" i="21"/>
  <c r="AS60" i="21"/>
  <c r="AR60" i="21"/>
  <c r="AQ60" i="21"/>
  <c r="AP60" i="21"/>
  <c r="AZ59" i="21"/>
  <c r="AW59" i="21"/>
  <c r="AV59" i="21"/>
  <c r="AU59" i="21"/>
  <c r="AS59" i="21"/>
  <c r="AR59" i="21"/>
  <c r="AQ59" i="21"/>
  <c r="AP59" i="21"/>
  <c r="AZ58" i="21"/>
  <c r="AW58" i="21"/>
  <c r="AV58" i="21"/>
  <c r="AU58" i="21"/>
  <c r="AS58" i="21"/>
  <c r="AR58" i="21"/>
  <c r="AQ58" i="21"/>
  <c r="AP58" i="21"/>
  <c r="AZ57" i="21"/>
  <c r="AW57" i="21"/>
  <c r="AV57" i="21"/>
  <c r="AU57" i="21"/>
  <c r="AS57" i="21"/>
  <c r="AR57" i="21"/>
  <c r="AQ57" i="21"/>
  <c r="AP57" i="21"/>
  <c r="AZ56" i="21"/>
  <c r="AW56" i="21"/>
  <c r="AV56" i="21"/>
  <c r="AU56" i="21"/>
  <c r="AS56" i="21"/>
  <c r="AR56" i="21"/>
  <c r="AQ56" i="21"/>
  <c r="AP56" i="21"/>
  <c r="AZ55" i="21"/>
  <c r="AW55" i="21"/>
  <c r="AV55" i="21"/>
  <c r="AU55" i="21"/>
  <c r="AS55" i="21"/>
  <c r="AR55" i="21"/>
  <c r="AQ55" i="21"/>
  <c r="AP55" i="21"/>
  <c r="AZ54" i="21"/>
  <c r="AW54" i="21"/>
  <c r="AV54" i="21"/>
  <c r="AU54" i="21"/>
  <c r="AS54" i="21"/>
  <c r="AR54" i="21"/>
  <c r="AQ54" i="21"/>
  <c r="AP54" i="21"/>
  <c r="AZ53" i="21"/>
  <c r="AW53" i="21"/>
  <c r="AV53" i="21"/>
  <c r="AU53" i="21"/>
  <c r="AS53" i="21"/>
  <c r="AR53" i="21"/>
  <c r="AQ53" i="21"/>
  <c r="AP53" i="21"/>
  <c r="AZ48" i="21"/>
  <c r="AW48" i="21"/>
  <c r="AV48" i="21"/>
  <c r="AU48" i="21"/>
  <c r="AS48" i="21"/>
  <c r="AR48" i="21"/>
  <c r="AQ48" i="21"/>
  <c r="AP48" i="21"/>
  <c r="AZ47" i="21"/>
  <c r="AW47" i="21"/>
  <c r="AV47" i="21"/>
  <c r="AU47" i="21"/>
  <c r="AS47" i="21"/>
  <c r="AR47" i="21"/>
  <c r="AQ47" i="21"/>
  <c r="AP47" i="21"/>
  <c r="AZ46" i="21"/>
  <c r="AW46" i="21"/>
  <c r="AV46" i="21"/>
  <c r="AU46" i="21"/>
  <c r="AS46" i="21"/>
  <c r="AR46" i="21"/>
  <c r="AQ46" i="21"/>
  <c r="AP46" i="21"/>
  <c r="AZ45" i="21"/>
  <c r="AW45" i="21"/>
  <c r="AV45" i="21"/>
  <c r="AU45" i="21"/>
  <c r="AS45" i="21"/>
  <c r="AR45" i="21"/>
  <c r="AQ45" i="21"/>
  <c r="AP45" i="21"/>
  <c r="AZ44" i="21"/>
  <c r="AW44" i="21"/>
  <c r="AV44" i="21"/>
  <c r="AU44" i="21"/>
  <c r="AS44" i="21"/>
  <c r="AR44" i="21"/>
  <c r="AQ44" i="21"/>
  <c r="AP44" i="21"/>
  <c r="AZ43" i="21"/>
  <c r="AW43" i="21"/>
  <c r="AV43" i="21"/>
  <c r="AU43" i="21"/>
  <c r="AS43" i="21"/>
  <c r="AR43" i="21"/>
  <c r="AQ43" i="21"/>
  <c r="AP43" i="21"/>
  <c r="AZ42" i="21"/>
  <c r="AW42" i="21"/>
  <c r="AV42" i="21"/>
  <c r="AU42" i="21"/>
  <c r="AS42" i="21"/>
  <c r="AR42" i="21"/>
  <c r="AQ42" i="21"/>
  <c r="AP42" i="21"/>
  <c r="AZ41" i="21"/>
  <c r="AW41" i="21"/>
  <c r="AV41" i="21"/>
  <c r="AU41" i="21"/>
  <c r="AS41" i="21"/>
  <c r="AR41" i="21"/>
  <c r="AQ41" i="21"/>
  <c r="AP41" i="21"/>
  <c r="AP14" i="21"/>
  <c r="AQ14" i="21"/>
  <c r="AR14" i="21"/>
  <c r="AS14" i="21"/>
  <c r="AU14" i="21"/>
  <c r="AV14" i="21"/>
  <c r="AW14" i="21"/>
  <c r="AZ14" i="21"/>
  <c r="AP15" i="21"/>
  <c r="AQ15" i="21"/>
  <c r="AR15" i="21"/>
  <c r="AS15" i="21"/>
  <c r="AU15" i="21"/>
  <c r="AV15" i="21"/>
  <c r="AW15" i="21"/>
  <c r="AZ15" i="21"/>
  <c r="AP16" i="21"/>
  <c r="AQ16" i="21"/>
  <c r="AR16" i="21"/>
  <c r="AS16" i="21"/>
  <c r="AU16" i="21"/>
  <c r="AV16" i="21"/>
  <c r="AW16" i="21"/>
  <c r="AZ16" i="21"/>
  <c r="AP17" i="21"/>
  <c r="AQ17" i="21"/>
  <c r="AR17" i="21"/>
  <c r="AS17" i="21"/>
  <c r="AU17" i="21"/>
  <c r="E17" i="4"/>
  <c r="AV17" i="21"/>
  <c r="AW17" i="21"/>
  <c r="AZ17" i="21"/>
  <c r="AP18" i="21"/>
  <c r="AQ18" i="21"/>
  <c r="AR18" i="21"/>
  <c r="AS18" i="21"/>
  <c r="AU18" i="21"/>
  <c r="AV18" i="21"/>
  <c r="AW18" i="21"/>
  <c r="AZ18" i="21"/>
  <c r="AP19" i="21"/>
  <c r="AQ19" i="21"/>
  <c r="AR19" i="21"/>
  <c r="AS19" i="21"/>
  <c r="AU19" i="21"/>
  <c r="AV19" i="21"/>
  <c r="AW19" i="21"/>
  <c r="AZ19" i="21"/>
  <c r="AP20" i="21"/>
  <c r="AQ20" i="21"/>
  <c r="AR20" i="21"/>
  <c r="AS20" i="21"/>
  <c r="AU20" i="21"/>
  <c r="AV20" i="21"/>
  <c r="AW20" i="21"/>
  <c r="AZ20" i="21"/>
  <c r="AP21" i="21"/>
  <c r="AQ21" i="21"/>
  <c r="AR21" i="21"/>
  <c r="AS21" i="21"/>
  <c r="AU21" i="21"/>
  <c r="AV21" i="21"/>
  <c r="AW21" i="21"/>
  <c r="AZ21" i="21"/>
  <c r="AP22" i="21"/>
  <c r="AQ22" i="21"/>
  <c r="AR22" i="21"/>
  <c r="AS22" i="21"/>
  <c r="AU22" i="21"/>
  <c r="AV22" i="21"/>
  <c r="AW22" i="21"/>
  <c r="AZ22" i="21"/>
  <c r="AP23" i="21"/>
  <c r="AQ23" i="21"/>
  <c r="AR23" i="21"/>
  <c r="AS23" i="21"/>
  <c r="AU23" i="21"/>
  <c r="AV23" i="21"/>
  <c r="AW23" i="21"/>
  <c r="AZ23" i="21"/>
  <c r="AP24" i="21"/>
  <c r="AQ24" i="21"/>
  <c r="AR24" i="21"/>
  <c r="AS24" i="21"/>
  <c r="AU24" i="21"/>
  <c r="AV24" i="21"/>
  <c r="AW24" i="21"/>
  <c r="AZ24" i="21"/>
  <c r="AP25" i="21"/>
  <c r="AQ25" i="21"/>
  <c r="AR25" i="21"/>
  <c r="AS25" i="21"/>
  <c r="AU25" i="21"/>
  <c r="AV25" i="21"/>
  <c r="AW25" i="21"/>
  <c r="AZ25" i="21"/>
  <c r="AP26" i="21"/>
  <c r="AQ26" i="21"/>
  <c r="AR26" i="21"/>
  <c r="AS26" i="21"/>
  <c r="AU26" i="21"/>
  <c r="AV26" i="21"/>
  <c r="AW26" i="21"/>
  <c r="AZ26" i="21"/>
  <c r="AP27" i="21"/>
  <c r="AQ27" i="21"/>
  <c r="AR27" i="21"/>
  <c r="AS27" i="21"/>
  <c r="AU27" i="21"/>
  <c r="AV27" i="21"/>
  <c r="AW27" i="21"/>
  <c r="AZ27" i="21"/>
  <c r="AP28" i="21"/>
  <c r="AQ28" i="21"/>
  <c r="AR28" i="21"/>
  <c r="AS28" i="21"/>
  <c r="AU28" i="21"/>
  <c r="AV28" i="21"/>
  <c r="AW28" i="21"/>
  <c r="AZ28" i="21"/>
  <c r="AP29" i="21"/>
  <c r="AQ29" i="21"/>
  <c r="AR29" i="21"/>
  <c r="AS29" i="21"/>
  <c r="AU29" i="21"/>
  <c r="AV29" i="21"/>
  <c r="AW29" i="21"/>
  <c r="AZ29" i="21"/>
  <c r="AP30" i="21"/>
  <c r="AQ30" i="21"/>
  <c r="AR30" i="21"/>
  <c r="AS30" i="21"/>
  <c r="AU30" i="21"/>
  <c r="AV30" i="21"/>
  <c r="AW30" i="21"/>
  <c r="AZ30" i="21"/>
  <c r="AP31" i="21"/>
  <c r="AQ31" i="21"/>
  <c r="AR31" i="21"/>
  <c r="AS31" i="21"/>
  <c r="AU31" i="21"/>
  <c r="AV31" i="21"/>
  <c r="AW31" i="21"/>
  <c r="AZ31" i="21"/>
  <c r="AP32" i="21"/>
  <c r="AQ32" i="21"/>
  <c r="AR32" i="21"/>
  <c r="AS32" i="21"/>
  <c r="AU32" i="21"/>
  <c r="AV32" i="21"/>
  <c r="AW32" i="21"/>
  <c r="AZ32" i="21"/>
  <c r="AP33" i="21"/>
  <c r="AQ33" i="21"/>
  <c r="AR33" i="21"/>
  <c r="AS33" i="21"/>
  <c r="AU33" i="21"/>
  <c r="AV33" i="21"/>
  <c r="AW33" i="21"/>
  <c r="AZ33" i="21"/>
  <c r="AP34" i="21"/>
  <c r="AQ34" i="21"/>
  <c r="AR34" i="21"/>
  <c r="AS34" i="21"/>
  <c r="AU34" i="21"/>
  <c r="AV34" i="21"/>
  <c r="AW34" i="21"/>
  <c r="AZ34" i="21"/>
  <c r="AP35" i="21"/>
  <c r="AQ35" i="21"/>
  <c r="AR35" i="21"/>
  <c r="AS35" i="21"/>
  <c r="AU35" i="21"/>
  <c r="AV35" i="21"/>
  <c r="AW35" i="21"/>
  <c r="AZ35" i="21"/>
  <c r="AP36" i="21"/>
  <c r="AQ36" i="21"/>
  <c r="AR36" i="21"/>
  <c r="AS36" i="21"/>
  <c r="AU36" i="21"/>
  <c r="AV36" i="21"/>
  <c r="AW36" i="21"/>
  <c r="AZ36" i="21"/>
  <c r="AP37" i="21"/>
  <c r="AQ37" i="21"/>
  <c r="AR37" i="21"/>
  <c r="AS37" i="21"/>
  <c r="AU37" i="21"/>
  <c r="AV37" i="21"/>
  <c r="AW37" i="21"/>
  <c r="AZ37" i="21"/>
  <c r="AU13" i="21"/>
  <c r="AP13" i="21"/>
  <c r="AZ7" i="21"/>
  <c r="AY7" i="21"/>
  <c r="AW7" i="21"/>
  <c r="AV7" i="21"/>
  <c r="AT7" i="21"/>
  <c r="AS7" i="21"/>
  <c r="AR7" i="21"/>
  <c r="AQ7" i="21"/>
  <c r="AJ185" i="17"/>
  <c r="AH185" i="17"/>
  <c r="AG185" i="17"/>
  <c r="AF185" i="17"/>
  <c r="AE185" i="17"/>
  <c r="AD185" i="17"/>
  <c r="AC185" i="17"/>
  <c r="AB185" i="17"/>
  <c r="AA185" i="17"/>
  <c r="Z185" i="17"/>
  <c r="AJ184" i="17"/>
  <c r="AH184" i="17"/>
  <c r="AG184" i="17"/>
  <c r="AF184" i="17"/>
  <c r="AE184" i="17"/>
  <c r="AD184" i="17"/>
  <c r="AC184" i="17"/>
  <c r="AB184" i="17"/>
  <c r="AA184" i="17"/>
  <c r="Z184" i="17"/>
  <c r="AK183" i="17"/>
  <c r="AJ183" i="17"/>
  <c r="AH183" i="17"/>
  <c r="AG183" i="17"/>
  <c r="AF183" i="17"/>
  <c r="AE183" i="17"/>
  <c r="AD183" i="17"/>
  <c r="AC183" i="17"/>
  <c r="AB183" i="17"/>
  <c r="AA183" i="17"/>
  <c r="Z183" i="17"/>
  <c r="AK182" i="17"/>
  <c r="AJ182" i="17"/>
  <c r="AH182" i="17"/>
  <c r="AG182" i="17"/>
  <c r="AF182" i="17"/>
  <c r="AE182" i="17"/>
  <c r="AD182" i="17"/>
  <c r="AC182" i="17"/>
  <c r="AB182" i="17"/>
  <c r="AA182" i="17"/>
  <c r="Z182" i="17"/>
  <c r="AK181" i="17"/>
  <c r="AJ181" i="17"/>
  <c r="AH181" i="17"/>
  <c r="AG181" i="17"/>
  <c r="AF181" i="17"/>
  <c r="AE181" i="17"/>
  <c r="AD181" i="17"/>
  <c r="AC181" i="17"/>
  <c r="AB181" i="17"/>
  <c r="AA181" i="17"/>
  <c r="Z181" i="17"/>
  <c r="AK180" i="17"/>
  <c r="AJ180" i="17"/>
  <c r="AH180" i="17"/>
  <c r="AG180" i="17"/>
  <c r="AF180" i="17"/>
  <c r="AE180" i="17"/>
  <c r="AD180" i="17"/>
  <c r="AC180" i="17"/>
  <c r="AB180" i="17"/>
  <c r="AA180" i="17"/>
  <c r="Z180" i="17"/>
  <c r="AK179" i="17"/>
  <c r="AJ179" i="17"/>
  <c r="AH179" i="17"/>
  <c r="AG179" i="17"/>
  <c r="AF179" i="17"/>
  <c r="AE179" i="17"/>
  <c r="AD179" i="17"/>
  <c r="AC179" i="17"/>
  <c r="AB179" i="17"/>
  <c r="AA179" i="17"/>
  <c r="Z179" i="17"/>
  <c r="AK178" i="17"/>
  <c r="AJ178" i="17"/>
  <c r="AH178" i="17"/>
  <c r="AG178" i="17"/>
  <c r="AF178" i="17"/>
  <c r="AE178" i="17"/>
  <c r="AD178" i="17"/>
  <c r="AC178" i="17"/>
  <c r="AB178" i="17"/>
  <c r="AA178" i="17"/>
  <c r="Z178" i="17"/>
  <c r="AK177" i="17"/>
  <c r="AJ177" i="17"/>
  <c r="AH177" i="17"/>
  <c r="AG177" i="17"/>
  <c r="AF177" i="17"/>
  <c r="AE177" i="17"/>
  <c r="AD177" i="17"/>
  <c r="AC177" i="17"/>
  <c r="AB177" i="17"/>
  <c r="AA177" i="17"/>
  <c r="Z177" i="17"/>
  <c r="AK176" i="17"/>
  <c r="AJ176" i="17"/>
  <c r="AH176" i="17"/>
  <c r="AG176" i="17"/>
  <c r="AF176" i="17"/>
  <c r="AE176" i="17"/>
  <c r="AD176" i="17"/>
  <c r="AC176" i="17"/>
  <c r="AB176" i="17"/>
  <c r="AA176" i="17"/>
  <c r="Z176" i="17"/>
  <c r="AK170" i="17"/>
  <c r="AJ170" i="17"/>
  <c r="AH170" i="17"/>
  <c r="AG170" i="17"/>
  <c r="AF170" i="17"/>
  <c r="AE170" i="17"/>
  <c r="AD170" i="17"/>
  <c r="AC170" i="17"/>
  <c r="AB170" i="17"/>
  <c r="AA170" i="17"/>
  <c r="Z170" i="17"/>
  <c r="AK169" i="17"/>
  <c r="AJ169" i="17"/>
  <c r="AH169" i="17"/>
  <c r="AG169" i="17"/>
  <c r="AF169" i="17"/>
  <c r="AE169" i="17"/>
  <c r="AC169" i="17"/>
  <c r="AB169" i="17"/>
  <c r="AA169" i="17"/>
  <c r="Z169" i="17"/>
  <c r="AK168" i="17"/>
  <c r="AJ168" i="17"/>
  <c r="AH168" i="17"/>
  <c r="AG168" i="17"/>
  <c r="AF168" i="17"/>
  <c r="AE168" i="17"/>
  <c r="AD168" i="17"/>
  <c r="AC168" i="17"/>
  <c r="AB168" i="17"/>
  <c r="AA168" i="17"/>
  <c r="Z168" i="17"/>
  <c r="AK167" i="17"/>
  <c r="AJ167" i="17"/>
  <c r="AH167" i="17"/>
  <c r="AG167" i="17"/>
  <c r="AF167" i="17"/>
  <c r="AE167" i="17"/>
  <c r="AD167" i="17"/>
  <c r="AC167" i="17"/>
  <c r="AB167" i="17"/>
  <c r="AA167" i="17"/>
  <c r="Z167" i="17"/>
  <c r="AK166" i="17"/>
  <c r="AH166" i="17"/>
  <c r="AG166" i="17"/>
  <c r="AF166" i="17"/>
  <c r="AE166" i="17"/>
  <c r="AD166" i="17"/>
  <c r="AC166" i="17"/>
  <c r="AB166" i="17"/>
  <c r="AA166" i="17"/>
  <c r="Z166" i="17"/>
  <c r="AK165" i="17"/>
  <c r="AH165" i="17"/>
  <c r="AG165" i="17"/>
  <c r="AF165" i="17"/>
  <c r="AE165" i="17"/>
  <c r="AD165" i="17"/>
  <c r="AC165" i="17"/>
  <c r="AB165" i="17"/>
  <c r="AA165" i="17"/>
  <c r="Z165" i="17"/>
  <c r="AK164" i="17"/>
  <c r="AH164" i="17"/>
  <c r="AG164" i="17"/>
  <c r="D164" i="4"/>
  <c r="AF164" i="17"/>
  <c r="AE164" i="17"/>
  <c r="AD164" i="17"/>
  <c r="AC164" i="17"/>
  <c r="AB164" i="17"/>
  <c r="AA164" i="17"/>
  <c r="Z164" i="17"/>
  <c r="AK163" i="17"/>
  <c r="AJ163" i="17"/>
  <c r="AH163" i="17"/>
  <c r="AG163" i="17"/>
  <c r="AF163" i="17"/>
  <c r="AE163" i="17"/>
  <c r="AD163" i="17"/>
  <c r="AC163" i="17"/>
  <c r="AB163" i="17"/>
  <c r="AA163" i="17"/>
  <c r="Z163" i="17"/>
  <c r="AK162" i="17"/>
  <c r="AJ162" i="17"/>
  <c r="AH162" i="17"/>
  <c r="AG162" i="17"/>
  <c r="AF162" i="17"/>
  <c r="AE162" i="17"/>
  <c r="AD162" i="17"/>
  <c r="AC162" i="17"/>
  <c r="AB162" i="17"/>
  <c r="AA162" i="17"/>
  <c r="Z162" i="17"/>
  <c r="AJ161" i="17"/>
  <c r="AH161" i="17"/>
  <c r="AG161" i="17"/>
  <c r="AF161" i="17"/>
  <c r="AE161" i="17"/>
  <c r="AD161" i="17"/>
  <c r="AC161" i="17"/>
  <c r="AB161" i="17"/>
  <c r="AA161" i="17"/>
  <c r="Z161" i="17"/>
  <c r="AK160" i="17"/>
  <c r="AJ160" i="17"/>
  <c r="AH160" i="17"/>
  <c r="AG160" i="17"/>
  <c r="AF160" i="17"/>
  <c r="AE160" i="17"/>
  <c r="AD160" i="17"/>
  <c r="AC160" i="17"/>
  <c r="AB160" i="17"/>
  <c r="AA160" i="17"/>
  <c r="Z160" i="17"/>
  <c r="AK159" i="17"/>
  <c r="AJ159" i="17"/>
  <c r="AH159" i="17"/>
  <c r="AG159" i="17"/>
  <c r="AF159" i="17"/>
  <c r="AE159" i="17"/>
  <c r="AD159" i="17"/>
  <c r="AC159" i="17"/>
  <c r="AB159" i="17"/>
  <c r="AA159" i="17"/>
  <c r="Z159" i="17"/>
  <c r="AK158" i="17"/>
  <c r="AG158" i="17"/>
  <c r="D158" i="4"/>
  <c r="AF158" i="17"/>
  <c r="AE158" i="17"/>
  <c r="AJ154" i="17"/>
  <c r="AH154" i="17"/>
  <c r="AG154" i="17"/>
  <c r="AF154" i="17"/>
  <c r="AE154" i="17"/>
  <c r="AJ149" i="17"/>
  <c r="AH149" i="17"/>
  <c r="AG149" i="17"/>
  <c r="AF149" i="17"/>
  <c r="AE149" i="17"/>
  <c r="AD149" i="17"/>
  <c r="AC149" i="17"/>
  <c r="AB149" i="17"/>
  <c r="AA149" i="17"/>
  <c r="Z149" i="17"/>
  <c r="AK148" i="17"/>
  <c r="AJ148" i="17"/>
  <c r="AH148" i="17"/>
  <c r="AG148" i="17"/>
  <c r="AF148" i="17"/>
  <c r="AE148" i="17"/>
  <c r="AD148" i="17"/>
  <c r="AC148" i="17"/>
  <c r="AB148" i="17"/>
  <c r="AA148" i="17"/>
  <c r="Z148" i="17"/>
  <c r="AJ147" i="17"/>
  <c r="AH147" i="17"/>
  <c r="AG147" i="17"/>
  <c r="AF147" i="17"/>
  <c r="AE147" i="17"/>
  <c r="AD147" i="17"/>
  <c r="AC147" i="17"/>
  <c r="AB147" i="17"/>
  <c r="AA147" i="17"/>
  <c r="Z147" i="17"/>
  <c r="AK146" i="17"/>
  <c r="AG146" i="17"/>
  <c r="AF146" i="17"/>
  <c r="AE146" i="17"/>
  <c r="AD146" i="17"/>
  <c r="Z146" i="17"/>
  <c r="AK145" i="17"/>
  <c r="AJ145" i="17"/>
  <c r="AH145" i="17"/>
  <c r="AG145" i="17"/>
  <c r="AF145" i="17"/>
  <c r="AE145" i="17"/>
  <c r="AD145" i="17"/>
  <c r="AC145" i="17"/>
  <c r="AB145" i="17"/>
  <c r="AA145" i="17"/>
  <c r="Z145" i="17"/>
  <c r="AK144" i="17"/>
  <c r="AJ144" i="17"/>
  <c r="AH144" i="17"/>
  <c r="AG144" i="17"/>
  <c r="AF144" i="17"/>
  <c r="AE144" i="17"/>
  <c r="AC144" i="17"/>
  <c r="AB144" i="17"/>
  <c r="AA144" i="17"/>
  <c r="Z144" i="17"/>
  <c r="AK140" i="17"/>
  <c r="AJ140" i="17"/>
  <c r="AH140" i="17"/>
  <c r="AG140" i="17"/>
  <c r="AF140" i="17"/>
  <c r="AE140" i="17"/>
  <c r="AD140" i="17"/>
  <c r="AC140" i="17"/>
  <c r="AB140" i="17"/>
  <c r="AA140" i="17"/>
  <c r="Z140" i="17"/>
  <c r="AK139" i="17"/>
  <c r="AJ139" i="17"/>
  <c r="AH139" i="17"/>
  <c r="AG139" i="17"/>
  <c r="AF139" i="17"/>
  <c r="AE139" i="17"/>
  <c r="AD139" i="17"/>
  <c r="AC139" i="17"/>
  <c r="AB139" i="17"/>
  <c r="AA139" i="17"/>
  <c r="Z139" i="17"/>
  <c r="AK138" i="17"/>
  <c r="AJ138" i="17"/>
  <c r="AG138" i="17"/>
  <c r="AF138" i="17"/>
  <c r="AE138" i="17"/>
  <c r="AD138" i="17"/>
  <c r="AC138" i="17"/>
  <c r="AB138" i="17"/>
  <c r="AA138" i="17"/>
  <c r="Z138" i="17"/>
  <c r="AK137" i="17"/>
  <c r="AJ137" i="17"/>
  <c r="AH137" i="17"/>
  <c r="AG137" i="17"/>
  <c r="AF137" i="17"/>
  <c r="AE137" i="17"/>
  <c r="AD137" i="17"/>
  <c r="AC137" i="17"/>
  <c r="AB137" i="17"/>
  <c r="AA137" i="17"/>
  <c r="Z137" i="17"/>
  <c r="AK132" i="17"/>
  <c r="AJ132" i="17"/>
  <c r="AH132" i="17"/>
  <c r="AG132" i="17"/>
  <c r="AF132" i="17"/>
  <c r="AE132" i="17"/>
  <c r="AD132" i="17"/>
  <c r="AC132" i="17"/>
  <c r="AB132" i="17"/>
  <c r="AA132" i="17"/>
  <c r="Z132" i="17"/>
  <c r="AK131" i="17"/>
  <c r="AJ131" i="17"/>
  <c r="AH131" i="17"/>
  <c r="AG131" i="17"/>
  <c r="AF131" i="17"/>
  <c r="AE131" i="17"/>
  <c r="AD131" i="17"/>
  <c r="AC131" i="17"/>
  <c r="AB131" i="17"/>
  <c r="AA131" i="17"/>
  <c r="Z131" i="17"/>
  <c r="AK130" i="17"/>
  <c r="AJ130" i="17"/>
  <c r="AH130" i="17"/>
  <c r="AG130" i="17"/>
  <c r="AF130" i="17"/>
  <c r="AE130" i="17"/>
  <c r="AD130" i="17"/>
  <c r="AC130" i="17"/>
  <c r="AB130" i="17"/>
  <c r="AA130" i="17"/>
  <c r="Z130" i="17"/>
  <c r="AK129" i="17"/>
  <c r="AJ129" i="17"/>
  <c r="AH129" i="17"/>
  <c r="AG129" i="17"/>
  <c r="AF129" i="17"/>
  <c r="AE129" i="17"/>
  <c r="AD129" i="17"/>
  <c r="AC129" i="17"/>
  <c r="AB129" i="17"/>
  <c r="AA129" i="17"/>
  <c r="Z129" i="17"/>
  <c r="AK128" i="17"/>
  <c r="AJ128" i="17"/>
  <c r="AH128" i="17"/>
  <c r="AG128" i="17"/>
  <c r="AF128" i="17"/>
  <c r="AE128" i="17"/>
  <c r="AD128" i="17"/>
  <c r="AC128" i="17"/>
  <c r="AB128" i="17"/>
  <c r="AA128" i="17"/>
  <c r="Z128" i="17"/>
  <c r="AK127" i="17"/>
  <c r="AJ127" i="17"/>
  <c r="AH127" i="17"/>
  <c r="AG127" i="17"/>
  <c r="AF127" i="17"/>
  <c r="AE127" i="17"/>
  <c r="AD127" i="17"/>
  <c r="AC127" i="17"/>
  <c r="AB127" i="17"/>
  <c r="AA127" i="17"/>
  <c r="Z127" i="17"/>
  <c r="AK126" i="17"/>
  <c r="AJ126" i="17"/>
  <c r="AG126" i="17"/>
  <c r="AF126" i="17"/>
  <c r="AE126" i="17"/>
  <c r="AD126" i="17"/>
  <c r="AC126" i="17"/>
  <c r="AB126" i="17"/>
  <c r="AA126" i="17"/>
  <c r="Z126" i="17"/>
  <c r="AK125" i="17"/>
  <c r="AJ125" i="17"/>
  <c r="AH125" i="17"/>
  <c r="AG125" i="17"/>
  <c r="AF125" i="17"/>
  <c r="AE125" i="17"/>
  <c r="AD125" i="17"/>
  <c r="AC125" i="17"/>
  <c r="AB125" i="17"/>
  <c r="AA125" i="17"/>
  <c r="Z125" i="17"/>
  <c r="AK121" i="17"/>
  <c r="AJ121" i="17"/>
  <c r="AH121" i="17"/>
  <c r="AG121" i="17"/>
  <c r="AF121" i="17"/>
  <c r="AE121" i="17"/>
  <c r="AD121" i="17"/>
  <c r="AC121" i="17"/>
  <c r="AB121" i="17"/>
  <c r="AA121" i="17"/>
  <c r="Z121" i="17"/>
  <c r="AK120" i="17"/>
  <c r="AJ120" i="17"/>
  <c r="AH120" i="17"/>
  <c r="AG120" i="17"/>
  <c r="AF120" i="17"/>
  <c r="AE120" i="17"/>
  <c r="AD120" i="17"/>
  <c r="AC120" i="17"/>
  <c r="AB120" i="17"/>
  <c r="AA120" i="17"/>
  <c r="Z120" i="17"/>
  <c r="AK119" i="17"/>
  <c r="AJ119" i="17"/>
  <c r="AH119" i="17"/>
  <c r="AG119" i="17"/>
  <c r="AF119" i="17"/>
  <c r="AE119" i="17"/>
  <c r="AD119" i="17"/>
  <c r="AC119" i="17"/>
  <c r="AB119" i="17"/>
  <c r="AA119" i="17"/>
  <c r="Z119" i="17"/>
  <c r="AK118" i="17"/>
  <c r="AJ118" i="17"/>
  <c r="AH118" i="17"/>
  <c r="AG118" i="17"/>
  <c r="AF118" i="17"/>
  <c r="AE118" i="17"/>
  <c r="AD118" i="17"/>
  <c r="AC118" i="17"/>
  <c r="AB118" i="17"/>
  <c r="AA118" i="17"/>
  <c r="Z118" i="17"/>
  <c r="AK117" i="17"/>
  <c r="AJ117" i="17"/>
  <c r="AH117" i="17"/>
  <c r="AG117" i="17"/>
  <c r="AF117" i="17"/>
  <c r="AE117" i="17"/>
  <c r="AD117" i="17"/>
  <c r="AC117" i="17"/>
  <c r="AB117" i="17"/>
  <c r="AA117" i="17"/>
  <c r="Z117" i="17"/>
  <c r="AK116" i="17"/>
  <c r="AJ116" i="17"/>
  <c r="AH116" i="17"/>
  <c r="AG116" i="17"/>
  <c r="AF116" i="17"/>
  <c r="AE116" i="17"/>
  <c r="AD116" i="17"/>
  <c r="AC116" i="17"/>
  <c r="AB116" i="17"/>
  <c r="AA116" i="17"/>
  <c r="Z116" i="17"/>
  <c r="AK115" i="17"/>
  <c r="AJ115" i="17"/>
  <c r="AH115" i="17"/>
  <c r="AG115" i="17"/>
  <c r="AF115" i="17"/>
  <c r="AE115" i="17"/>
  <c r="AD115" i="17"/>
  <c r="AC115" i="17"/>
  <c r="AB115" i="17"/>
  <c r="AA115" i="17"/>
  <c r="Z115" i="17"/>
  <c r="AK114" i="17"/>
  <c r="AJ114" i="17"/>
  <c r="AH114" i="17"/>
  <c r="AG114" i="17"/>
  <c r="AF114" i="17"/>
  <c r="AE114" i="17"/>
  <c r="AD114" i="17"/>
  <c r="AC114" i="17"/>
  <c r="AB114" i="17"/>
  <c r="AA114" i="17"/>
  <c r="Z114" i="17"/>
  <c r="AK113" i="17"/>
  <c r="AJ113" i="17"/>
  <c r="AH113" i="17"/>
  <c r="AG113" i="17"/>
  <c r="AF113" i="17"/>
  <c r="AE113" i="17"/>
  <c r="AD113" i="17"/>
  <c r="AC113" i="17"/>
  <c r="AB113" i="17"/>
  <c r="AA113" i="17"/>
  <c r="Z113" i="17"/>
  <c r="AK112" i="17"/>
  <c r="AJ112" i="17"/>
  <c r="AH112" i="17"/>
  <c r="AG112" i="17"/>
  <c r="AF112" i="17"/>
  <c r="AE112" i="17"/>
  <c r="AD112" i="17"/>
  <c r="AC112" i="17"/>
  <c r="AB112" i="17"/>
  <c r="AA112" i="17"/>
  <c r="Z112" i="17"/>
  <c r="AK111" i="17"/>
  <c r="AJ111" i="17"/>
  <c r="AH111" i="17"/>
  <c r="AG111" i="17"/>
  <c r="AF111" i="17"/>
  <c r="AJ110" i="17"/>
  <c r="AH110" i="17"/>
  <c r="AG110" i="17"/>
  <c r="AF110" i="17"/>
  <c r="AE110" i="17"/>
  <c r="AD110" i="17"/>
  <c r="AC110" i="17"/>
  <c r="AB110" i="17"/>
  <c r="AA110" i="17"/>
  <c r="Z110" i="17"/>
  <c r="AK109" i="17"/>
  <c r="AJ109" i="17"/>
  <c r="AH109" i="17"/>
  <c r="AF109" i="17"/>
  <c r="AE109" i="17"/>
  <c r="AD109" i="17"/>
  <c r="AC109" i="17"/>
  <c r="Z109" i="17"/>
  <c r="AK108" i="17"/>
  <c r="AJ108" i="17"/>
  <c r="AH108" i="17"/>
  <c r="AG108" i="17"/>
  <c r="AF108" i="17"/>
  <c r="AE108" i="17"/>
  <c r="AD108" i="17"/>
  <c r="AC108" i="17"/>
  <c r="AB108" i="17"/>
  <c r="AA108" i="17"/>
  <c r="Z108" i="17"/>
  <c r="D88" i="4"/>
  <c r="D73" i="4"/>
  <c r="D80" i="4"/>
  <c r="D101" i="4"/>
  <c r="AF101" i="17"/>
  <c r="AK100" i="17"/>
  <c r="AJ100" i="17"/>
  <c r="AH100" i="17"/>
  <c r="AG100" i="17"/>
  <c r="AF100" i="17"/>
  <c r="AE100" i="17"/>
  <c r="AD100" i="17"/>
  <c r="AC100" i="17"/>
  <c r="AB100" i="17"/>
  <c r="AA100" i="17"/>
  <c r="Z100" i="17"/>
  <c r="D99" i="4"/>
  <c r="AF99" i="17"/>
  <c r="D98" i="4"/>
  <c r="AF98" i="17"/>
  <c r="D97" i="4"/>
  <c r="AF97" i="17"/>
  <c r="D96" i="4"/>
  <c r="AF96" i="17"/>
  <c r="D95" i="4"/>
  <c r="AF95" i="17"/>
  <c r="AG94" i="17"/>
  <c r="AF94" i="17"/>
  <c r="AG93" i="17"/>
  <c r="AF93" i="17"/>
  <c r="AK87" i="17"/>
  <c r="AJ87" i="17"/>
  <c r="AH87" i="17"/>
  <c r="AG87" i="17"/>
  <c r="AF87" i="17"/>
  <c r="AE87" i="17"/>
  <c r="AD87" i="17"/>
  <c r="AC87" i="17"/>
  <c r="AB87" i="17"/>
  <c r="AA87" i="17"/>
  <c r="Z87" i="17"/>
  <c r="AK86" i="17"/>
  <c r="AJ86" i="17"/>
  <c r="AH86" i="17"/>
  <c r="AG86" i="17"/>
  <c r="AF86" i="17"/>
  <c r="AE86" i="17"/>
  <c r="AD86" i="17"/>
  <c r="AC86" i="17"/>
  <c r="AB86" i="17"/>
  <c r="AA86" i="17"/>
  <c r="AK85" i="17"/>
  <c r="AJ85" i="17"/>
  <c r="AG85" i="17"/>
  <c r="AF85" i="17"/>
  <c r="AE85" i="17"/>
  <c r="AD85" i="17"/>
  <c r="AC85" i="17"/>
  <c r="AB85" i="17"/>
  <c r="AA85" i="17"/>
  <c r="Z85" i="17"/>
  <c r="AK84" i="17"/>
  <c r="AJ84" i="17"/>
  <c r="AH84" i="17"/>
  <c r="AG84" i="17"/>
  <c r="AF84" i="17"/>
  <c r="AE84" i="17"/>
  <c r="AD84" i="17"/>
  <c r="AC84" i="17"/>
  <c r="AB84" i="17"/>
  <c r="AA84" i="17"/>
  <c r="Z84" i="17"/>
  <c r="AK79" i="17"/>
  <c r="AJ79" i="17"/>
  <c r="AH79" i="17"/>
  <c r="AG79" i="17"/>
  <c r="AF79" i="17"/>
  <c r="AE79" i="17"/>
  <c r="AD79" i="17"/>
  <c r="AC79" i="17"/>
  <c r="AB79" i="17"/>
  <c r="AA79" i="17"/>
  <c r="Z79" i="17"/>
  <c r="AK78" i="17"/>
  <c r="AJ78" i="17"/>
  <c r="AH78" i="17"/>
  <c r="AG78" i="17"/>
  <c r="AF78" i="17"/>
  <c r="AE78" i="17"/>
  <c r="AD78" i="17"/>
  <c r="AC78" i="17"/>
  <c r="AB78" i="17"/>
  <c r="AA78" i="17"/>
  <c r="Z78" i="17"/>
  <c r="AK77" i="17"/>
  <c r="AJ77" i="17"/>
  <c r="AH77" i="17"/>
  <c r="AG77" i="17"/>
  <c r="AF77" i="17"/>
  <c r="AE77" i="17"/>
  <c r="AD77" i="17"/>
  <c r="AC77" i="17"/>
  <c r="AB77" i="17"/>
  <c r="AA77" i="17"/>
  <c r="Z77" i="17"/>
  <c r="AJ76" i="17"/>
  <c r="AH76" i="17"/>
  <c r="AG76" i="17"/>
  <c r="AF76" i="17"/>
  <c r="AE76" i="17"/>
  <c r="AD76" i="17"/>
  <c r="AB76" i="17"/>
  <c r="AA76" i="17"/>
  <c r="Z76" i="17"/>
  <c r="AK75" i="17"/>
  <c r="AJ75" i="17"/>
  <c r="AH75" i="17"/>
  <c r="AG75" i="17"/>
  <c r="AF75" i="17"/>
  <c r="AE75" i="17"/>
  <c r="AD75" i="17"/>
  <c r="AC75" i="17"/>
  <c r="Z75" i="17"/>
  <c r="AK74" i="17"/>
  <c r="AJ74" i="17"/>
  <c r="AH74" i="17"/>
  <c r="AG74" i="17"/>
  <c r="AF74" i="17"/>
  <c r="AE74" i="17"/>
  <c r="AD74" i="17"/>
  <c r="AC74" i="17"/>
  <c r="AB74" i="17"/>
  <c r="AA74" i="17"/>
  <c r="Z74" i="17"/>
  <c r="AK73" i="17"/>
  <c r="AJ73" i="17"/>
  <c r="AH73" i="17"/>
  <c r="AG73" i="17"/>
  <c r="AF73" i="17"/>
  <c r="AE73" i="17"/>
  <c r="AC73" i="17"/>
  <c r="AB73" i="17"/>
  <c r="AA73" i="17"/>
  <c r="Z73" i="17"/>
  <c r="AK72" i="17"/>
  <c r="AJ72" i="17"/>
  <c r="AH72" i="17"/>
  <c r="AG72" i="17"/>
  <c r="AF72" i="17"/>
  <c r="AD72" i="17"/>
  <c r="AC72" i="17"/>
  <c r="AB72" i="17"/>
  <c r="AA72" i="17"/>
  <c r="AK65" i="17"/>
  <c r="AJ65" i="17"/>
  <c r="AH65" i="17"/>
  <c r="AG65" i="17"/>
  <c r="AF65" i="17"/>
  <c r="AE65" i="17"/>
  <c r="AD65" i="17"/>
  <c r="AC65" i="17"/>
  <c r="AB65" i="17"/>
  <c r="AA65" i="17"/>
  <c r="Z65" i="17"/>
  <c r="AK64" i="17"/>
  <c r="AJ64" i="17"/>
  <c r="AH64" i="17"/>
  <c r="AG64" i="17"/>
  <c r="AF64" i="17"/>
  <c r="AE64" i="17"/>
  <c r="AD64" i="17"/>
  <c r="AC64" i="17"/>
  <c r="AB64" i="17"/>
  <c r="AA64" i="17"/>
  <c r="Z64" i="17"/>
  <c r="AK63" i="17"/>
  <c r="AJ63" i="17"/>
  <c r="AH63" i="17"/>
  <c r="AG63" i="17"/>
  <c r="AF63" i="17"/>
  <c r="AE63" i="17"/>
  <c r="AD63" i="17"/>
  <c r="AC63" i="17"/>
  <c r="AB63" i="17"/>
  <c r="AA63" i="17"/>
  <c r="Z63" i="17"/>
  <c r="AK62" i="17"/>
  <c r="AJ62" i="17"/>
  <c r="AH62" i="17"/>
  <c r="AG62" i="17"/>
  <c r="AF62" i="17"/>
  <c r="AE62" i="17"/>
  <c r="AD62" i="17"/>
  <c r="AC62" i="17"/>
  <c r="AB62" i="17"/>
  <c r="AA62" i="17"/>
  <c r="Z62" i="17"/>
  <c r="AK61" i="17"/>
  <c r="AJ61" i="17"/>
  <c r="AH61" i="17"/>
  <c r="AG61" i="17"/>
  <c r="AF61" i="17"/>
  <c r="AE61" i="17"/>
  <c r="AD61" i="17"/>
  <c r="AC61" i="17"/>
  <c r="AB61" i="17"/>
  <c r="Z61" i="17"/>
  <c r="AK60" i="17"/>
  <c r="AJ60" i="17"/>
  <c r="AH60" i="17"/>
  <c r="AG60" i="17"/>
  <c r="AF60" i="17"/>
  <c r="AE60" i="17"/>
  <c r="AD60" i="17"/>
  <c r="AC60" i="17"/>
  <c r="AB60" i="17"/>
  <c r="AA60" i="17"/>
  <c r="Z60" i="17"/>
  <c r="AK59" i="17"/>
  <c r="AJ59" i="17"/>
  <c r="AH59" i="17"/>
  <c r="AG59" i="17"/>
  <c r="AF59" i="17"/>
  <c r="AE59" i="17"/>
  <c r="AD59" i="17"/>
  <c r="AC59" i="17"/>
  <c r="AB59" i="17"/>
  <c r="AA59" i="17"/>
  <c r="Z59" i="17"/>
  <c r="AK58" i="17"/>
  <c r="AJ58" i="17"/>
  <c r="AH58" i="17"/>
  <c r="AG58" i="17"/>
  <c r="AF58" i="17"/>
  <c r="AE58" i="17"/>
  <c r="AD58" i="17"/>
  <c r="AC58" i="17"/>
  <c r="AB58" i="17"/>
  <c r="AA58" i="17"/>
  <c r="Z58" i="17"/>
  <c r="AK57" i="17"/>
  <c r="AH57" i="17"/>
  <c r="AG57" i="17"/>
  <c r="AF57" i="17"/>
  <c r="AE57" i="17"/>
  <c r="AD57" i="17"/>
  <c r="AC57" i="17"/>
  <c r="AB57" i="17"/>
  <c r="AA57" i="17"/>
  <c r="Z57" i="17"/>
  <c r="AK56" i="17"/>
  <c r="AJ56" i="17"/>
  <c r="AH56" i="17"/>
  <c r="AG56" i="17"/>
  <c r="AF56" i="17"/>
  <c r="AE56" i="17"/>
  <c r="AD56" i="17"/>
  <c r="AC56" i="17"/>
  <c r="AB56" i="17"/>
  <c r="AA56" i="17"/>
  <c r="Z56" i="17"/>
  <c r="AK55" i="17"/>
  <c r="AJ55" i="17"/>
  <c r="AH55" i="17"/>
  <c r="AG55" i="17"/>
  <c r="AF55" i="17"/>
  <c r="AE55" i="17"/>
  <c r="AD55" i="17"/>
  <c r="AC55" i="17"/>
  <c r="AB55" i="17"/>
  <c r="AA55" i="17"/>
  <c r="Z55" i="17"/>
  <c r="AK54" i="17"/>
  <c r="AJ54" i="17"/>
  <c r="AH54" i="17"/>
  <c r="AG54" i="17"/>
  <c r="AF54" i="17"/>
  <c r="AE54" i="17"/>
  <c r="AD54" i="17"/>
  <c r="AC54" i="17"/>
  <c r="AB54" i="17"/>
  <c r="AA54" i="17"/>
  <c r="Z54" i="17"/>
  <c r="AK53" i="17"/>
  <c r="AJ53" i="17"/>
  <c r="AH53" i="17"/>
  <c r="AG53" i="17"/>
  <c r="AF53" i="17"/>
  <c r="AE53" i="17"/>
  <c r="AD53" i="17"/>
  <c r="AC53" i="17"/>
  <c r="AB53" i="17"/>
  <c r="AA53" i="17"/>
  <c r="Z53" i="17"/>
  <c r="AK48" i="17"/>
  <c r="AJ48" i="17"/>
  <c r="AH48" i="17"/>
  <c r="AG48" i="17"/>
  <c r="AF48" i="17"/>
  <c r="AE48" i="17"/>
  <c r="AD48" i="17"/>
  <c r="AC48" i="17"/>
  <c r="AB48" i="17"/>
  <c r="AA48" i="17"/>
  <c r="Z48" i="17"/>
  <c r="AK47" i="17"/>
  <c r="AJ47" i="17"/>
  <c r="AH47" i="17"/>
  <c r="AG47" i="17"/>
  <c r="AF47" i="17"/>
  <c r="AE47" i="17"/>
  <c r="AD47" i="17"/>
  <c r="AC47" i="17"/>
  <c r="AB47" i="17"/>
  <c r="AA47" i="17"/>
  <c r="Z47" i="17"/>
  <c r="AK46" i="17"/>
  <c r="AJ46" i="17"/>
  <c r="AH46" i="17"/>
  <c r="AG46" i="17"/>
  <c r="AF46" i="17"/>
  <c r="AE46" i="17"/>
  <c r="AD46" i="17"/>
  <c r="AC46" i="17"/>
  <c r="AB46" i="17"/>
  <c r="AA46" i="17"/>
  <c r="Z46" i="17"/>
  <c r="AK45" i="17"/>
  <c r="AJ45" i="17"/>
  <c r="AH45" i="17"/>
  <c r="AG45" i="17"/>
  <c r="AF45" i="17"/>
  <c r="AE45" i="17"/>
  <c r="AD45" i="17"/>
  <c r="AC45" i="17"/>
  <c r="AB45" i="17"/>
  <c r="AA45" i="17"/>
  <c r="Z45" i="17"/>
  <c r="AK44" i="17"/>
  <c r="AJ44" i="17"/>
  <c r="AH44" i="17"/>
  <c r="AG44" i="17"/>
  <c r="AF44" i="17"/>
  <c r="AE44" i="17"/>
  <c r="AD44" i="17"/>
  <c r="AC44" i="17"/>
  <c r="AB44" i="17"/>
  <c r="AA44" i="17"/>
  <c r="Z44" i="17"/>
  <c r="AK43" i="17"/>
  <c r="AJ43" i="17"/>
  <c r="AH43" i="17"/>
  <c r="AG43" i="17"/>
  <c r="AF43" i="17"/>
  <c r="AE43" i="17"/>
  <c r="AD43" i="17"/>
  <c r="AC43" i="17"/>
  <c r="AB43" i="17"/>
  <c r="AA43" i="17"/>
  <c r="Z43" i="17"/>
  <c r="AK42" i="17"/>
  <c r="AJ42" i="17"/>
  <c r="AH42" i="17"/>
  <c r="AG42" i="17"/>
  <c r="AF42" i="17"/>
  <c r="AE42" i="17"/>
  <c r="AD42" i="17"/>
  <c r="AC42" i="17"/>
  <c r="AB42" i="17"/>
  <c r="AA42" i="17"/>
  <c r="Z42" i="17"/>
  <c r="AK41" i="17"/>
  <c r="AJ41" i="17"/>
  <c r="AH41" i="17"/>
  <c r="AG41" i="17"/>
  <c r="AF41" i="17"/>
  <c r="AE41" i="17"/>
  <c r="AD41" i="17"/>
  <c r="AC41" i="17"/>
  <c r="AB41" i="17"/>
  <c r="AA41" i="17"/>
  <c r="Z41" i="17"/>
  <c r="Z14" i="17"/>
  <c r="AA14" i="17"/>
  <c r="AB14" i="17"/>
  <c r="AC14" i="17"/>
  <c r="AD14" i="17"/>
  <c r="AE14" i="17"/>
  <c r="AF14" i="17"/>
  <c r="AG14" i="17"/>
  <c r="AH14" i="17"/>
  <c r="AJ14" i="17"/>
  <c r="AK14" i="17"/>
  <c r="Z15" i="17"/>
  <c r="AA15" i="17"/>
  <c r="AB15" i="17"/>
  <c r="AC15" i="17"/>
  <c r="AD15" i="17"/>
  <c r="AE15" i="17"/>
  <c r="AF15" i="17"/>
  <c r="AG15" i="17"/>
  <c r="AH15" i="17"/>
  <c r="AJ15" i="17"/>
  <c r="AK15" i="17"/>
  <c r="Z16" i="17"/>
  <c r="AA16" i="17"/>
  <c r="AB16" i="17"/>
  <c r="AC16" i="17"/>
  <c r="AD16" i="17"/>
  <c r="AE16" i="17"/>
  <c r="AF16" i="17"/>
  <c r="AG16" i="17"/>
  <c r="AH16" i="17"/>
  <c r="AK16" i="17"/>
  <c r="Z17" i="17"/>
  <c r="AA17" i="17"/>
  <c r="AB17" i="17"/>
  <c r="AC17" i="17"/>
  <c r="AD17" i="17"/>
  <c r="AE17" i="17"/>
  <c r="D17" i="4"/>
  <c r="AF17" i="17"/>
  <c r="AG17" i="17"/>
  <c r="AH17" i="17"/>
  <c r="AJ17" i="17"/>
  <c r="AK17" i="17"/>
  <c r="Z18" i="17"/>
  <c r="AA18" i="17"/>
  <c r="AB18" i="17"/>
  <c r="AC18" i="17"/>
  <c r="AD18" i="17"/>
  <c r="AE18" i="17"/>
  <c r="AF18" i="17"/>
  <c r="AG18" i="17"/>
  <c r="AH18" i="17"/>
  <c r="AJ18" i="17"/>
  <c r="AK18" i="17"/>
  <c r="Z19" i="17"/>
  <c r="AA19" i="17"/>
  <c r="AB19" i="17"/>
  <c r="AC19" i="17"/>
  <c r="AD19" i="17"/>
  <c r="AE19" i="17"/>
  <c r="AF19" i="17"/>
  <c r="AG19" i="17"/>
  <c r="AH19" i="17"/>
  <c r="AJ19" i="17"/>
  <c r="AK19" i="17"/>
  <c r="Z20" i="17"/>
  <c r="AA20" i="17"/>
  <c r="AB20" i="17"/>
  <c r="AC20" i="17"/>
  <c r="AD20" i="17"/>
  <c r="AE20" i="17"/>
  <c r="AF20" i="17"/>
  <c r="AG20" i="17"/>
  <c r="AH20" i="17"/>
  <c r="AJ20" i="17"/>
  <c r="AK20" i="17"/>
  <c r="Z21" i="17"/>
  <c r="AA21" i="17"/>
  <c r="AB21" i="17"/>
  <c r="AC21" i="17"/>
  <c r="AD21" i="17"/>
  <c r="AE21" i="17"/>
  <c r="AF21" i="17"/>
  <c r="AG21" i="17"/>
  <c r="AH21" i="17"/>
  <c r="AJ21" i="17"/>
  <c r="AK21" i="17"/>
  <c r="Z22" i="17"/>
  <c r="AA22" i="17"/>
  <c r="AB22" i="17"/>
  <c r="AC22" i="17"/>
  <c r="AD22" i="17"/>
  <c r="AE22" i="17"/>
  <c r="AF22" i="17"/>
  <c r="AG22" i="17"/>
  <c r="AH22" i="17"/>
  <c r="AJ22" i="17"/>
  <c r="AK22" i="17"/>
  <c r="Z23" i="17"/>
  <c r="AA23" i="17"/>
  <c r="AB23" i="17"/>
  <c r="AC23" i="17"/>
  <c r="AD23" i="17"/>
  <c r="AE23" i="17"/>
  <c r="AF23" i="17"/>
  <c r="AG23" i="17"/>
  <c r="AH23" i="17"/>
  <c r="AJ23" i="17"/>
  <c r="AK23" i="17"/>
  <c r="Z24" i="17"/>
  <c r="AA24" i="17"/>
  <c r="AB24" i="17"/>
  <c r="AC24" i="17"/>
  <c r="AD24" i="17"/>
  <c r="AE24" i="17"/>
  <c r="AF24" i="17"/>
  <c r="AG24" i="17"/>
  <c r="AH24" i="17"/>
  <c r="AJ24" i="17"/>
  <c r="AK24" i="17"/>
  <c r="Z25" i="17"/>
  <c r="AA25" i="17"/>
  <c r="AB25" i="17"/>
  <c r="AC25" i="17"/>
  <c r="AD25" i="17"/>
  <c r="AE25" i="17"/>
  <c r="AF25" i="17"/>
  <c r="AG25" i="17"/>
  <c r="AH25" i="17"/>
  <c r="AJ25" i="17"/>
  <c r="AK25" i="17"/>
  <c r="Z26" i="17"/>
  <c r="AA26" i="17"/>
  <c r="AB26" i="17"/>
  <c r="AC26" i="17"/>
  <c r="AD26" i="17"/>
  <c r="AE26" i="17"/>
  <c r="AF26" i="17"/>
  <c r="AG26" i="17"/>
  <c r="AH26" i="17"/>
  <c r="AJ26" i="17"/>
  <c r="AK26" i="17"/>
  <c r="Z27" i="17"/>
  <c r="AA27" i="17"/>
  <c r="AB27" i="17"/>
  <c r="AC27" i="17"/>
  <c r="AD27" i="17"/>
  <c r="AE27" i="17"/>
  <c r="AF27" i="17"/>
  <c r="AG27" i="17"/>
  <c r="AH27" i="17"/>
  <c r="AJ27" i="17"/>
  <c r="AK27" i="17"/>
  <c r="Z28" i="17"/>
  <c r="AA28" i="17"/>
  <c r="AB28" i="17"/>
  <c r="AC28" i="17"/>
  <c r="AD28" i="17"/>
  <c r="AE28" i="17"/>
  <c r="AF28" i="17"/>
  <c r="AG28" i="17"/>
  <c r="AH28" i="17"/>
  <c r="AJ28" i="17"/>
  <c r="AK28" i="17"/>
  <c r="Z29" i="17"/>
  <c r="AA29" i="17"/>
  <c r="AB29" i="17"/>
  <c r="AC29" i="17"/>
  <c r="AD29" i="17"/>
  <c r="AE29" i="17"/>
  <c r="AF29" i="17"/>
  <c r="AG29" i="17"/>
  <c r="AH29" i="17"/>
  <c r="AJ29" i="17"/>
  <c r="AK29" i="17"/>
  <c r="Z30" i="17"/>
  <c r="AA30" i="17"/>
  <c r="AB30" i="17"/>
  <c r="AC30" i="17"/>
  <c r="AD30" i="17"/>
  <c r="AE30" i="17"/>
  <c r="AF30" i="17"/>
  <c r="AG30" i="17"/>
  <c r="AH30" i="17"/>
  <c r="AJ30" i="17"/>
  <c r="AK30" i="17"/>
  <c r="Z31" i="17"/>
  <c r="AA31" i="17"/>
  <c r="AB31" i="17"/>
  <c r="AC31" i="17"/>
  <c r="AD31" i="17"/>
  <c r="AE31" i="17"/>
  <c r="AF31" i="17"/>
  <c r="AG31" i="17"/>
  <c r="AH31" i="17"/>
  <c r="AJ31" i="17"/>
  <c r="AK31" i="17"/>
  <c r="Z32" i="17"/>
  <c r="AA32" i="17"/>
  <c r="AB32" i="17"/>
  <c r="AC32" i="17"/>
  <c r="AD32" i="17"/>
  <c r="AE32" i="17"/>
  <c r="AF32" i="17"/>
  <c r="AG32" i="17"/>
  <c r="AH32" i="17"/>
  <c r="AJ32" i="17"/>
  <c r="AK32" i="17"/>
  <c r="Z33" i="17"/>
  <c r="AA33" i="17"/>
  <c r="AB33" i="17"/>
  <c r="AC33" i="17"/>
  <c r="AD33" i="17"/>
  <c r="AE33" i="17"/>
  <c r="AF33" i="17"/>
  <c r="AG33" i="17"/>
  <c r="AH33" i="17"/>
  <c r="AJ33" i="17"/>
  <c r="AK33" i="17"/>
  <c r="Z34" i="17"/>
  <c r="AA34" i="17"/>
  <c r="AB34" i="17"/>
  <c r="AC34" i="17"/>
  <c r="AD34" i="17"/>
  <c r="AE34" i="17"/>
  <c r="AF34" i="17"/>
  <c r="AG34" i="17"/>
  <c r="AH34" i="17"/>
  <c r="AJ34" i="17"/>
  <c r="AK34" i="17"/>
  <c r="Z35" i="17"/>
  <c r="AA35" i="17"/>
  <c r="AB35" i="17"/>
  <c r="AC35" i="17"/>
  <c r="AD35" i="17"/>
  <c r="AE35" i="17"/>
  <c r="AF35" i="17"/>
  <c r="AG35" i="17"/>
  <c r="AH35" i="17"/>
  <c r="AJ35" i="17"/>
  <c r="AK35" i="17"/>
  <c r="Z36" i="17"/>
  <c r="AA36" i="17"/>
  <c r="AB36" i="17"/>
  <c r="AC36" i="17"/>
  <c r="AD36" i="17"/>
  <c r="AE36" i="17"/>
  <c r="AF36" i="17"/>
  <c r="AG36" i="17"/>
  <c r="AH36" i="17"/>
  <c r="AJ36" i="17"/>
  <c r="AK36" i="17"/>
  <c r="Z37" i="17"/>
  <c r="AA37" i="17"/>
  <c r="AB37" i="17"/>
  <c r="AC37" i="17"/>
  <c r="AD37" i="17"/>
  <c r="AE37" i="17"/>
  <c r="AF37" i="17"/>
  <c r="AG37" i="17"/>
  <c r="AH37" i="17"/>
  <c r="AJ37" i="17"/>
  <c r="AK37" i="17"/>
  <c r="AK7" i="17"/>
  <c r="AJ7" i="17"/>
  <c r="AH7" i="17"/>
  <c r="AG7" i="17"/>
  <c r="AF7" i="17"/>
  <c r="AD7" i="17"/>
  <c r="AC7" i="17"/>
  <c r="AK13" i="17"/>
  <c r="AH13" i="17"/>
  <c r="AG13" i="17"/>
  <c r="AF13" i="17"/>
  <c r="AE13" i="17"/>
  <c r="AD13" i="17"/>
  <c r="AC13" i="17"/>
  <c r="AB13" i="17"/>
  <c r="AB7" i="17"/>
  <c r="AA7" i="17"/>
  <c r="AA13" i="17"/>
  <c r="Z13" i="17"/>
  <c r="M170" i="3"/>
  <c r="BH170" i="2"/>
  <c r="N144" i="3"/>
  <c r="AD144" i="17"/>
  <c r="M144" i="3"/>
  <c r="BH144" i="2"/>
  <c r="F106" i="14"/>
  <c r="O73" i="3"/>
  <c r="AT73" i="21"/>
  <c r="N73" i="3"/>
  <c r="AD73" i="17"/>
  <c r="E138" i="8"/>
  <c r="AH138" i="17"/>
  <c r="BL138" i="2"/>
  <c r="P68" i="21"/>
  <c r="T68" i="21"/>
  <c r="U175" i="21"/>
  <c r="U186" i="21"/>
  <c r="U188" i="21"/>
  <c r="T175" i="21"/>
  <c r="T186" i="21"/>
  <c r="T188" i="21"/>
  <c r="P175" i="21"/>
  <c r="P186" i="21"/>
  <c r="P188" i="21"/>
  <c r="E61" i="3"/>
  <c r="D61" i="3"/>
  <c r="H186" i="3"/>
  <c r="H146" i="3"/>
  <c r="H141" i="3"/>
  <c r="H133" i="3"/>
  <c r="AB111" i="17"/>
  <c r="H99" i="3"/>
  <c r="AB99" i="17"/>
  <c r="H94" i="3"/>
  <c r="AB94" i="17"/>
  <c r="H93" i="3"/>
  <c r="AB93" i="17"/>
  <c r="H88" i="3"/>
  <c r="H66" i="3"/>
  <c r="H49" i="3"/>
  <c r="H38" i="3"/>
  <c r="E186" i="3"/>
  <c r="E146" i="3"/>
  <c r="E141" i="3"/>
  <c r="E133" i="3"/>
  <c r="AA111" i="17"/>
  <c r="AA109" i="17"/>
  <c r="E99" i="3"/>
  <c r="AA99" i="17"/>
  <c r="E94" i="3"/>
  <c r="AA94" i="17"/>
  <c r="E93" i="3"/>
  <c r="AA93" i="17"/>
  <c r="E88" i="3"/>
  <c r="E49" i="3"/>
  <c r="E38" i="3"/>
  <c r="O186" i="3"/>
  <c r="N186" i="3"/>
  <c r="N169" i="3"/>
  <c r="N158" i="3"/>
  <c r="AD158" i="17"/>
  <c r="N154" i="3"/>
  <c r="AD154" i="17"/>
  <c r="O150" i="3"/>
  <c r="N150" i="3"/>
  <c r="O141" i="3"/>
  <c r="N141" i="3"/>
  <c r="O133" i="3"/>
  <c r="N133" i="3"/>
  <c r="N111" i="3"/>
  <c r="O99" i="3"/>
  <c r="AT99" i="21"/>
  <c r="N99" i="3"/>
  <c r="AD99" i="17"/>
  <c r="O94" i="3"/>
  <c r="AT94" i="21"/>
  <c r="N94" i="3"/>
  <c r="AD94" i="17"/>
  <c r="O93" i="3"/>
  <c r="AT93" i="21"/>
  <c r="N93" i="3"/>
  <c r="AD93" i="17"/>
  <c r="O88" i="3"/>
  <c r="N88" i="3"/>
  <c r="O80" i="3"/>
  <c r="N80" i="3"/>
  <c r="O66" i="3"/>
  <c r="N66" i="3"/>
  <c r="O49" i="3"/>
  <c r="N49" i="3"/>
  <c r="O38" i="3"/>
  <c r="N38" i="3"/>
  <c r="L186" i="3"/>
  <c r="K186" i="3"/>
  <c r="L171" i="3"/>
  <c r="L155" i="3"/>
  <c r="L146" i="3"/>
  <c r="L150" i="3"/>
  <c r="AC146" i="17"/>
  <c r="L141" i="3"/>
  <c r="K141" i="3"/>
  <c r="L133" i="3"/>
  <c r="K133" i="3"/>
  <c r="L122" i="3"/>
  <c r="L99" i="3"/>
  <c r="K99" i="3"/>
  <c r="AC99" i="17"/>
  <c r="L94" i="3"/>
  <c r="K94" i="3"/>
  <c r="AC94" i="17"/>
  <c r="L93" i="3"/>
  <c r="K93" i="3"/>
  <c r="AC93" i="17"/>
  <c r="L88" i="3"/>
  <c r="K88" i="3"/>
  <c r="L66" i="3"/>
  <c r="K66" i="3"/>
  <c r="L49" i="3"/>
  <c r="K49" i="3"/>
  <c r="L38" i="3"/>
  <c r="K38" i="3"/>
  <c r="I186" i="3"/>
  <c r="I171" i="3"/>
  <c r="I155" i="3"/>
  <c r="I146" i="3"/>
  <c r="I150" i="3"/>
  <c r="I141" i="3"/>
  <c r="I133" i="3"/>
  <c r="I99" i="3"/>
  <c r="I94" i="3"/>
  <c r="I93" i="3"/>
  <c r="I88" i="3"/>
  <c r="I66" i="3"/>
  <c r="I49" i="3"/>
  <c r="I38" i="3"/>
  <c r="F186" i="3"/>
  <c r="F171" i="3"/>
  <c r="F155" i="3"/>
  <c r="F146" i="3"/>
  <c r="F150" i="3"/>
  <c r="F141" i="3"/>
  <c r="F133" i="3"/>
  <c r="F99" i="3"/>
  <c r="F94" i="3"/>
  <c r="F93" i="3"/>
  <c r="F88" i="3"/>
  <c r="F66" i="3"/>
  <c r="F49" i="3"/>
  <c r="F38" i="3"/>
  <c r="F137" i="8"/>
  <c r="AW137" i="21"/>
  <c r="D137" i="8"/>
  <c r="BL137" i="2"/>
  <c r="M154" i="3"/>
  <c r="C154" i="3"/>
  <c r="M111" i="3"/>
  <c r="P111" i="3"/>
  <c r="R161" i="26"/>
  <c r="AK161" i="17"/>
  <c r="BO161" i="2"/>
  <c r="AZ161" i="21"/>
  <c r="F166" i="11"/>
  <c r="AY166" i="21"/>
  <c r="E166" i="11"/>
  <c r="AJ166" i="17"/>
  <c r="D166" i="11"/>
  <c r="BN166" i="2"/>
  <c r="F165" i="11"/>
  <c r="AY165" i="21"/>
  <c r="E165" i="11"/>
  <c r="AJ165" i="17"/>
  <c r="D165" i="11"/>
  <c r="BN165" i="2"/>
  <c r="F164" i="11"/>
  <c r="AY164" i="21"/>
  <c r="D164" i="11"/>
  <c r="BN164" i="2"/>
  <c r="F158" i="11"/>
  <c r="AY158" i="21"/>
  <c r="E158" i="11"/>
  <c r="AJ158" i="17"/>
  <c r="D158" i="11"/>
  <c r="BN158" i="2"/>
  <c r="F155" i="11"/>
  <c r="F150" i="11"/>
  <c r="F80" i="11"/>
  <c r="F57" i="11"/>
  <c r="AY57" i="21"/>
  <c r="E57" i="11"/>
  <c r="AJ57" i="17"/>
  <c r="D57" i="11"/>
  <c r="BN57" i="2"/>
  <c r="F16" i="11"/>
  <c r="AY16" i="21"/>
  <c r="E16" i="11"/>
  <c r="AJ16" i="17"/>
  <c r="D16" i="11"/>
  <c r="BN16" i="2"/>
  <c r="F186" i="11"/>
  <c r="F141" i="11"/>
  <c r="F133" i="11"/>
  <c r="F122" i="11"/>
  <c r="F99" i="11"/>
  <c r="AY99" i="21"/>
  <c r="F94" i="11"/>
  <c r="AY94" i="21"/>
  <c r="F93" i="11"/>
  <c r="AY93" i="21"/>
  <c r="F88" i="11"/>
  <c r="F49" i="11"/>
  <c r="E85" i="8"/>
  <c r="AH85" i="17"/>
  <c r="D85" i="8"/>
  <c r="BL85" i="2"/>
  <c r="D171" i="8"/>
  <c r="E171" i="8"/>
  <c r="F171" i="8"/>
  <c r="C171" i="8"/>
  <c r="D155" i="8"/>
  <c r="E155" i="8"/>
  <c r="F155" i="8"/>
  <c r="C155" i="8"/>
  <c r="D141" i="8"/>
  <c r="C133" i="8"/>
  <c r="D122" i="8"/>
  <c r="E122" i="8"/>
  <c r="F122" i="8"/>
  <c r="C122" i="8"/>
  <c r="H141" i="6"/>
  <c r="O155" i="3"/>
  <c r="AT154" i="21"/>
  <c r="O122" i="3"/>
  <c r="AT111" i="21"/>
  <c r="R171" i="26"/>
  <c r="T161" i="26"/>
  <c r="L161" i="1"/>
  <c r="E141" i="8"/>
  <c r="N68" i="3"/>
  <c r="O171" i="3"/>
  <c r="H68" i="3"/>
  <c r="O90" i="3"/>
  <c r="D154" i="26"/>
  <c r="BD154" i="2"/>
  <c r="AP154" i="21"/>
  <c r="Z154" i="17"/>
  <c r="N122" i="3"/>
  <c r="AD111" i="17"/>
  <c r="E111" i="26"/>
  <c r="E122" i="26"/>
  <c r="E188" i="26"/>
  <c r="BI111" i="2"/>
  <c r="AE111" i="17"/>
  <c r="AU111" i="21"/>
  <c r="O68" i="3"/>
  <c r="E150" i="3"/>
  <c r="AA146" i="17"/>
  <c r="D111" i="26"/>
  <c r="AP111" i="21"/>
  <c r="Z111" i="17"/>
  <c r="BD111" i="2"/>
  <c r="BH154" i="2"/>
  <c r="BH111" i="2"/>
  <c r="K150" i="3"/>
  <c r="N90" i="3"/>
  <c r="N155" i="3"/>
  <c r="N171" i="3"/>
  <c r="N188" i="3"/>
  <c r="AD169" i="17"/>
  <c r="H150" i="3"/>
  <c r="AB146" i="17"/>
  <c r="BE61" i="2"/>
  <c r="AQ61" i="21"/>
  <c r="F66" i="11"/>
  <c r="D133" i="8"/>
  <c r="BL131" i="2"/>
  <c r="E66" i="3"/>
  <c r="E68" i="3"/>
  <c r="AA61" i="17"/>
  <c r="F38" i="11"/>
  <c r="K155" i="3"/>
  <c r="AC154" i="17"/>
  <c r="K122" i="3"/>
  <c r="K171" i="3"/>
  <c r="K188" i="3"/>
  <c r="AC111" i="17"/>
  <c r="AC158" i="17"/>
  <c r="BG154" i="2"/>
  <c r="AS154" i="21"/>
  <c r="BG111" i="2"/>
  <c r="AS111" i="21"/>
  <c r="E155" i="3"/>
  <c r="AA154" i="17"/>
  <c r="E171" i="3"/>
  <c r="AA158" i="17"/>
  <c r="H122" i="3"/>
  <c r="AB109" i="17"/>
  <c r="H171" i="3"/>
  <c r="AB158" i="17"/>
  <c r="H155" i="3"/>
  <c r="AB154" i="17"/>
  <c r="BF154" i="2"/>
  <c r="AR154" i="21"/>
  <c r="BF111" i="2"/>
  <c r="AR111" i="21"/>
  <c r="BE111" i="2"/>
  <c r="AQ111" i="21"/>
  <c r="BE154" i="2"/>
  <c r="AQ154" i="21"/>
  <c r="L188" i="3"/>
  <c r="E122" i="3"/>
  <c r="O101" i="3"/>
  <c r="AT101" i="21"/>
  <c r="N97" i="3"/>
  <c r="AD97" i="17"/>
  <c r="O97" i="3"/>
  <c r="AT97" i="21"/>
  <c r="L68" i="3"/>
  <c r="N96" i="3"/>
  <c r="AD96" i="17"/>
  <c r="N98" i="3"/>
  <c r="AD98" i="17"/>
  <c r="N101" i="3"/>
  <c r="AD101" i="17"/>
  <c r="N95" i="3"/>
  <c r="AD95" i="17"/>
  <c r="O95" i="3"/>
  <c r="AT95" i="21"/>
  <c r="O96" i="3"/>
  <c r="AT96" i="21"/>
  <c r="O98" i="3"/>
  <c r="AT98" i="21"/>
  <c r="F68" i="3"/>
  <c r="F122" i="3"/>
  <c r="F188" i="3"/>
  <c r="I68" i="3"/>
  <c r="I122" i="3"/>
  <c r="I188" i="3"/>
  <c r="K68" i="3"/>
  <c r="F171" i="11"/>
  <c r="F188" i="11"/>
  <c r="F97" i="11"/>
  <c r="AY97" i="21"/>
  <c r="F101" i="11"/>
  <c r="AY101" i="21"/>
  <c r="F90" i="11"/>
  <c r="F98" i="11"/>
  <c r="AY98" i="21"/>
  <c r="F96" i="11"/>
  <c r="AY96" i="21"/>
  <c r="F95" i="11"/>
  <c r="AY95" i="21"/>
  <c r="H133" i="6"/>
  <c r="H122" i="6"/>
  <c r="H188" i="6"/>
  <c r="H88" i="6"/>
  <c r="H66" i="6"/>
  <c r="H49" i="6"/>
  <c r="H13" i="6"/>
  <c r="F101" i="6"/>
  <c r="F68" i="6"/>
  <c r="F116" i="12"/>
  <c r="F117" i="12"/>
  <c r="F118" i="12"/>
  <c r="F119" i="12"/>
  <c r="F120" i="12"/>
  <c r="F121" i="12"/>
  <c r="F122" i="12"/>
  <c r="F123" i="12"/>
  <c r="F124" i="12"/>
  <c r="F125" i="12"/>
  <c r="F126" i="12"/>
  <c r="I93" i="23"/>
  <c r="D117" i="12"/>
  <c r="D118" i="12"/>
  <c r="D119" i="12"/>
  <c r="D120" i="12"/>
  <c r="D121" i="12"/>
  <c r="D122" i="12"/>
  <c r="D123" i="12"/>
  <c r="D124" i="12"/>
  <c r="D125" i="12"/>
  <c r="D126" i="12"/>
  <c r="F127" i="12"/>
  <c r="H126" i="12"/>
  <c r="D127" i="12"/>
  <c r="D128" i="12"/>
  <c r="D129" i="12"/>
  <c r="D130" i="12"/>
  <c r="D131" i="12"/>
  <c r="D132" i="12"/>
  <c r="D133" i="12"/>
  <c r="D134" i="12"/>
  <c r="D135" i="12"/>
  <c r="I81" i="23"/>
  <c r="D151" i="12"/>
  <c r="D152" i="12"/>
  <c r="D153" i="12"/>
  <c r="D154" i="12"/>
  <c r="D155" i="12"/>
  <c r="D156" i="12"/>
  <c r="D157" i="12"/>
  <c r="D158" i="12"/>
  <c r="D159" i="12"/>
  <c r="F140" i="12"/>
  <c r="F141" i="12"/>
  <c r="F142" i="12"/>
  <c r="F143" i="12"/>
  <c r="F144" i="12"/>
  <c r="F145" i="12"/>
  <c r="F146" i="12"/>
  <c r="F147" i="12"/>
  <c r="F148" i="12"/>
  <c r="F149" i="12"/>
  <c r="F150" i="12"/>
  <c r="H150" i="12"/>
  <c r="J150" i="12"/>
  <c r="F151" i="12"/>
  <c r="H151" i="12"/>
  <c r="J151" i="12"/>
  <c r="D4" i="15"/>
  <c r="D5" i="15"/>
  <c r="D6" i="15"/>
  <c r="D7" i="15"/>
  <c r="D8" i="15"/>
  <c r="D9" i="15"/>
  <c r="D10" i="15"/>
  <c r="D11" i="15"/>
  <c r="D12" i="15"/>
  <c r="D13" i="15"/>
  <c r="D14" i="15"/>
  <c r="D15" i="15"/>
  <c r="F15" i="15"/>
  <c r="I79" i="23"/>
  <c r="D175" i="14"/>
  <c r="D176" i="14"/>
  <c r="D177" i="14"/>
  <c r="D178" i="14"/>
  <c r="D179" i="14"/>
  <c r="D180" i="14"/>
  <c r="I42" i="23"/>
  <c r="I40" i="23"/>
  <c r="AW13" i="21"/>
  <c r="F186" i="8"/>
  <c r="F146" i="8"/>
  <c r="F126" i="8"/>
  <c r="F99" i="8"/>
  <c r="AW99" i="21"/>
  <c r="F94" i="8"/>
  <c r="AW94" i="21"/>
  <c r="F93" i="8"/>
  <c r="AW93" i="21"/>
  <c r="F88" i="8"/>
  <c r="F80" i="8"/>
  <c r="F66" i="8"/>
  <c r="F49" i="8"/>
  <c r="F38" i="8"/>
  <c r="F68" i="8"/>
  <c r="M169" i="3"/>
  <c r="D158" i="3"/>
  <c r="B8" i="1"/>
  <c r="D5" i="1"/>
  <c r="O188" i="3"/>
  <c r="AW126" i="21"/>
  <c r="F133" i="8"/>
  <c r="AW146" i="21"/>
  <c r="F150" i="8"/>
  <c r="H188" i="3"/>
  <c r="T111" i="26"/>
  <c r="L111" i="1"/>
  <c r="D122" i="26"/>
  <c r="BH169" i="2"/>
  <c r="D155" i="26"/>
  <c r="F68" i="11"/>
  <c r="D6" i="1"/>
  <c r="D7" i="1"/>
  <c r="AZ147" i="21"/>
  <c r="BO147" i="2"/>
  <c r="AK147" i="17"/>
  <c r="D4" i="1"/>
  <c r="H38" i="6"/>
  <c r="H68" i="6"/>
  <c r="E188" i="3"/>
  <c r="BG158" i="2"/>
  <c r="AS158" i="21"/>
  <c r="AR109" i="21"/>
  <c r="BF109" i="2"/>
  <c r="AR158" i="21"/>
  <c r="BF158" i="2"/>
  <c r="BE109" i="2"/>
  <c r="AQ109" i="21"/>
  <c r="AQ158" i="21"/>
  <c r="BE158" i="2"/>
  <c r="F90" i="8"/>
  <c r="AW138" i="21"/>
  <c r="F141" i="8"/>
  <c r="F188" i="8"/>
  <c r="N102" i="3"/>
  <c r="N104" i="3"/>
  <c r="N191" i="3"/>
  <c r="O102" i="3"/>
  <c r="O104" i="3"/>
  <c r="O191" i="3"/>
  <c r="F102" i="11"/>
  <c r="F104" i="11"/>
  <c r="F191" i="11"/>
  <c r="F98" i="6"/>
  <c r="F97" i="6"/>
  <c r="F95" i="6"/>
  <c r="F96" i="6"/>
  <c r="F128" i="12"/>
  <c r="H127" i="12"/>
  <c r="F152" i="12"/>
  <c r="F97" i="8"/>
  <c r="AW97" i="21"/>
  <c r="F98" i="8"/>
  <c r="AW98" i="21"/>
  <c r="F95" i="8"/>
  <c r="AW95" i="21"/>
  <c r="F96" i="8"/>
  <c r="AW96" i="21"/>
  <c r="F101" i="8"/>
  <c r="AW101" i="21"/>
  <c r="F102" i="6"/>
  <c r="F104" i="6"/>
  <c r="F191" i="6"/>
  <c r="F102" i="8"/>
  <c r="H128" i="12"/>
  <c r="F129" i="12"/>
  <c r="H152" i="12"/>
  <c r="J152" i="12"/>
  <c r="F153" i="12"/>
  <c r="F104" i="8"/>
  <c r="F191" i="8"/>
  <c r="H129" i="12"/>
  <c r="F130" i="12"/>
  <c r="H153" i="12"/>
  <c r="J153" i="12"/>
  <c r="F154" i="12"/>
  <c r="F131" i="12"/>
  <c r="H130" i="12"/>
  <c r="H154" i="12"/>
  <c r="J154" i="12"/>
  <c r="F155" i="12"/>
  <c r="F132" i="12"/>
  <c r="H131" i="12"/>
  <c r="H155" i="12"/>
  <c r="J155" i="12"/>
  <c r="F156" i="12"/>
  <c r="H132" i="12"/>
  <c r="F133" i="12"/>
  <c r="H156" i="12"/>
  <c r="J156" i="12"/>
  <c r="F157" i="12"/>
  <c r="F134" i="12"/>
  <c r="H133" i="12"/>
  <c r="H157" i="12"/>
  <c r="J157" i="12"/>
  <c r="F158" i="12"/>
  <c r="AJ38" i="21"/>
  <c r="AK38" i="21"/>
  <c r="AL38" i="21"/>
  <c r="AM38" i="21"/>
  <c r="AN38" i="21"/>
  <c r="AJ49" i="21"/>
  <c r="AK49" i="21"/>
  <c r="AL49" i="21"/>
  <c r="AM49" i="21"/>
  <c r="AN49" i="21"/>
  <c r="AJ66" i="21"/>
  <c r="AK66" i="21"/>
  <c r="AL66" i="21"/>
  <c r="AM66" i="21"/>
  <c r="AN66" i="21"/>
  <c r="AJ88" i="21"/>
  <c r="AK88" i="21"/>
  <c r="AL88" i="21"/>
  <c r="AM88" i="21"/>
  <c r="AN88" i="21"/>
  <c r="AJ94" i="21"/>
  <c r="AK94" i="21"/>
  <c r="AL94" i="21"/>
  <c r="AM94" i="21"/>
  <c r="AN94" i="21"/>
  <c r="AJ99" i="21"/>
  <c r="AK99" i="21"/>
  <c r="AL99" i="21"/>
  <c r="AM99" i="21"/>
  <c r="AN99" i="21"/>
  <c r="AJ115" i="21"/>
  <c r="AJ122" i="21"/>
  <c r="AK115" i="21"/>
  <c r="AL115" i="21"/>
  <c r="AM115" i="21"/>
  <c r="AN115" i="21"/>
  <c r="AN122" i="21"/>
  <c r="AK122" i="21"/>
  <c r="AL122" i="21"/>
  <c r="AM122" i="21"/>
  <c r="AJ133" i="21"/>
  <c r="AK133" i="21"/>
  <c r="AL133" i="21"/>
  <c r="AM133" i="21"/>
  <c r="AN133" i="21"/>
  <c r="AJ141" i="21"/>
  <c r="AK141" i="21"/>
  <c r="AL141" i="21"/>
  <c r="AM141" i="21"/>
  <c r="AN141" i="21"/>
  <c r="AJ150" i="21"/>
  <c r="AK150" i="21"/>
  <c r="AL150" i="21"/>
  <c r="AM150" i="21"/>
  <c r="AN150" i="21"/>
  <c r="AJ155" i="21"/>
  <c r="AK155" i="21"/>
  <c r="AL155" i="21"/>
  <c r="AM155" i="21"/>
  <c r="AN155" i="21"/>
  <c r="AJ171" i="21"/>
  <c r="AK171" i="21"/>
  <c r="AL171" i="21"/>
  <c r="AM171" i="21"/>
  <c r="AN171" i="21"/>
  <c r="G93" i="21"/>
  <c r="AN175" i="21"/>
  <c r="AN186" i="21"/>
  <c r="AN188" i="21"/>
  <c r="AJ175" i="21"/>
  <c r="AJ186" i="21"/>
  <c r="AM68" i="21"/>
  <c r="AM175" i="21"/>
  <c r="AM186" i="21"/>
  <c r="AM188" i="21"/>
  <c r="AN68" i="21"/>
  <c r="AJ68" i="21"/>
  <c r="AL68" i="21"/>
  <c r="AL175" i="21"/>
  <c r="AL186" i="21"/>
  <c r="AL188" i="21"/>
  <c r="AK68" i="21"/>
  <c r="AK175" i="21"/>
  <c r="AK186" i="21"/>
  <c r="AK188" i="21"/>
  <c r="AJ188" i="21"/>
  <c r="F135" i="12"/>
  <c r="H135" i="12"/>
  <c r="H134" i="12"/>
  <c r="H158" i="12"/>
  <c r="J158" i="12"/>
  <c r="F159" i="12"/>
  <c r="H159" i="12"/>
  <c r="J159" i="12"/>
  <c r="G146" i="21"/>
  <c r="I7" i="7"/>
  <c r="D66" i="22"/>
  <c r="D49" i="22"/>
  <c r="D38" i="22"/>
  <c r="D68" i="22"/>
  <c r="E186" i="11"/>
  <c r="D186" i="11"/>
  <c r="C186" i="11"/>
  <c r="C171" i="11"/>
  <c r="E155" i="11"/>
  <c r="D155" i="11"/>
  <c r="C155" i="11"/>
  <c r="D150" i="11"/>
  <c r="E141" i="11"/>
  <c r="D141" i="11"/>
  <c r="E133" i="11"/>
  <c r="D133" i="11"/>
  <c r="C133" i="11"/>
  <c r="E122" i="11"/>
  <c r="D122" i="11"/>
  <c r="C122" i="11"/>
  <c r="E88" i="11"/>
  <c r="D88" i="11"/>
  <c r="C88" i="11"/>
  <c r="AK149" i="17"/>
  <c r="BO110" i="2"/>
  <c r="AZ110" i="21"/>
  <c r="BO149" i="2"/>
  <c r="R149" i="26"/>
  <c r="C42" i="21"/>
  <c r="C21" i="2"/>
  <c r="C21" i="17"/>
  <c r="F4" i="13"/>
  <c r="AP73" i="2"/>
  <c r="AS73" i="2"/>
  <c r="AF8" i="17"/>
  <c r="AG8" i="17"/>
  <c r="AK154" i="17"/>
  <c r="R154" i="26"/>
  <c r="AZ154" i="21"/>
  <c r="BO154" i="2"/>
  <c r="R110" i="26"/>
  <c r="AK110" i="17"/>
  <c r="T149" i="26"/>
  <c r="L149" i="1"/>
  <c r="R150" i="26"/>
  <c r="AZ149" i="21"/>
  <c r="Q146" i="26"/>
  <c r="Q150" i="26"/>
  <c r="Q188" i="26"/>
  <c r="K102" i="23"/>
  <c r="K101" i="23"/>
  <c r="K100" i="23"/>
  <c r="I97" i="23"/>
  <c r="I96" i="23"/>
  <c r="K95" i="23"/>
  <c r="P92" i="23"/>
  <c r="K81" i="23"/>
  <c r="I69" i="23"/>
  <c r="K69" i="23"/>
  <c r="I68" i="23"/>
  <c r="I67" i="23"/>
  <c r="K67" i="23"/>
  <c r="I66" i="23"/>
  <c r="K66" i="23"/>
  <c r="I65" i="23"/>
  <c r="I61" i="23"/>
  <c r="K61" i="23"/>
  <c r="I60" i="23"/>
  <c r="K60" i="23"/>
  <c r="R155" i="26"/>
  <c r="T154" i="26"/>
  <c r="R122" i="26"/>
  <c r="T110" i="26"/>
  <c r="K71" i="23"/>
  <c r="Q77" i="26"/>
  <c r="K99" i="23"/>
  <c r="D80" i="11"/>
  <c r="D90" i="11"/>
  <c r="K103" i="23"/>
  <c r="K97" i="23"/>
  <c r="K96" i="23"/>
  <c r="K68" i="23"/>
  <c r="K65" i="23"/>
  <c r="K42" i="23"/>
  <c r="K40" i="23"/>
  <c r="K89" i="23"/>
  <c r="L154" i="1"/>
  <c r="T155" i="26"/>
  <c r="L110" i="1"/>
  <c r="T122" i="26"/>
  <c r="E80" i="11"/>
  <c r="E90" i="11"/>
  <c r="C21" i="21"/>
  <c r="AV8" i="21"/>
  <c r="AV13" i="21"/>
  <c r="E164" i="11"/>
  <c r="AJ164" i="17"/>
  <c r="D171" i="11"/>
  <c r="K99" i="17"/>
  <c r="K94" i="17"/>
  <c r="K93" i="17"/>
  <c r="K88" i="17"/>
  <c r="K66" i="17"/>
  <c r="K68" i="17"/>
  <c r="E171" i="11"/>
  <c r="M186" i="1"/>
  <c r="M155" i="1"/>
  <c r="M150" i="1"/>
  <c r="M141" i="1"/>
  <c r="M133" i="1"/>
  <c r="M122" i="1"/>
  <c r="P185" i="1"/>
  <c r="P184" i="1"/>
  <c r="P183" i="1"/>
  <c r="P182" i="1"/>
  <c r="P181" i="1"/>
  <c r="P180" i="1"/>
  <c r="P179" i="1"/>
  <c r="P178" i="1"/>
  <c r="P177" i="1"/>
  <c r="P176" i="1"/>
  <c r="P175" i="1"/>
  <c r="P170" i="1"/>
  <c r="P169" i="1"/>
  <c r="P168" i="1"/>
  <c r="P167" i="1"/>
  <c r="P166" i="1"/>
  <c r="P165" i="1"/>
  <c r="P163" i="1"/>
  <c r="P162" i="1"/>
  <c r="P161" i="1"/>
  <c r="P160" i="1"/>
  <c r="P159" i="1"/>
  <c r="P158" i="1"/>
  <c r="P154" i="1"/>
  <c r="P155" i="1"/>
  <c r="P149" i="1"/>
  <c r="P148" i="1"/>
  <c r="P147" i="1"/>
  <c r="P146" i="1"/>
  <c r="P145" i="1"/>
  <c r="P144" i="1"/>
  <c r="P140" i="1"/>
  <c r="P139" i="1"/>
  <c r="P138" i="1"/>
  <c r="P137" i="1"/>
  <c r="P132" i="1"/>
  <c r="P131" i="1"/>
  <c r="P129" i="1"/>
  <c r="P128" i="1"/>
  <c r="P127" i="1"/>
  <c r="P126" i="1"/>
  <c r="P125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1" i="1"/>
  <c r="P100" i="1"/>
  <c r="P99" i="1"/>
  <c r="P98" i="1"/>
  <c r="P97" i="1"/>
  <c r="P96" i="1"/>
  <c r="P95" i="1"/>
  <c r="P94" i="1"/>
  <c r="P93" i="1"/>
  <c r="P87" i="1"/>
  <c r="P86" i="1"/>
  <c r="P85" i="1"/>
  <c r="P84" i="1"/>
  <c r="P79" i="1"/>
  <c r="P77" i="1"/>
  <c r="P76" i="1"/>
  <c r="P75" i="1"/>
  <c r="P74" i="1"/>
  <c r="P73" i="1"/>
  <c r="P72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48" i="1"/>
  <c r="P47" i="1"/>
  <c r="P46" i="1"/>
  <c r="P45" i="1"/>
  <c r="P44" i="1"/>
  <c r="P43" i="1"/>
  <c r="P42" i="1"/>
  <c r="P37" i="1"/>
  <c r="P36" i="1"/>
  <c r="P35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P17" i="1"/>
  <c r="P15" i="1"/>
  <c r="P14" i="1"/>
  <c r="P13" i="1"/>
  <c r="M171" i="1"/>
  <c r="M102" i="1"/>
  <c r="M88" i="1"/>
  <c r="M80" i="1"/>
  <c r="M66" i="1"/>
  <c r="M49" i="1"/>
  <c r="M38" i="1"/>
  <c r="J186" i="1"/>
  <c r="J171" i="1"/>
  <c r="J155" i="1"/>
  <c r="J150" i="1"/>
  <c r="J141" i="1"/>
  <c r="J133" i="1"/>
  <c r="J122" i="1"/>
  <c r="J102" i="1"/>
  <c r="J88" i="1"/>
  <c r="J80" i="1"/>
  <c r="J66" i="1"/>
  <c r="J49" i="1"/>
  <c r="J38" i="1"/>
  <c r="G186" i="1"/>
  <c r="G171" i="1"/>
  <c r="G155" i="1"/>
  <c r="G150" i="1"/>
  <c r="G141" i="1"/>
  <c r="G133" i="1"/>
  <c r="G122" i="1"/>
  <c r="G102" i="1"/>
  <c r="G88" i="1"/>
  <c r="G66" i="1"/>
  <c r="G49" i="1"/>
  <c r="G38" i="1"/>
  <c r="D186" i="1"/>
  <c r="D171" i="1"/>
  <c r="D155" i="1"/>
  <c r="D150" i="1"/>
  <c r="D141" i="1"/>
  <c r="D133" i="1"/>
  <c r="D122" i="1"/>
  <c r="D102" i="1"/>
  <c r="D88" i="1"/>
  <c r="D80" i="1"/>
  <c r="D66" i="1"/>
  <c r="P27" i="1"/>
  <c r="P16" i="1"/>
  <c r="D188" i="1"/>
  <c r="G188" i="1"/>
  <c r="J188" i="1"/>
  <c r="M188" i="1"/>
  <c r="J90" i="1"/>
  <c r="M90" i="1"/>
  <c r="M104" i="1"/>
  <c r="M190" i="1"/>
  <c r="P186" i="1"/>
  <c r="P150" i="1"/>
  <c r="P141" i="1"/>
  <c r="P122" i="1"/>
  <c r="P102" i="1"/>
  <c r="P88" i="1"/>
  <c r="P66" i="1"/>
  <c r="J104" i="1"/>
  <c r="J190" i="1"/>
  <c r="P38" i="1"/>
  <c r="D49" i="1"/>
  <c r="P41" i="1"/>
  <c r="P49" i="1"/>
  <c r="P78" i="1"/>
  <c r="P80" i="1"/>
  <c r="G80" i="1"/>
  <c r="G90" i="1"/>
  <c r="G104" i="1"/>
  <c r="D90" i="1"/>
  <c r="D104" i="1"/>
  <c r="D190" i="1"/>
  <c r="P130" i="1"/>
  <c r="P133" i="1"/>
  <c r="P164" i="1"/>
  <c r="P171" i="1"/>
  <c r="J68" i="1"/>
  <c r="D38" i="1"/>
  <c r="M68" i="1"/>
  <c r="M192" i="1"/>
  <c r="G68" i="1"/>
  <c r="G192" i="1"/>
  <c r="J192" i="1"/>
  <c r="G190" i="1"/>
  <c r="P90" i="1"/>
  <c r="P104" i="1"/>
  <c r="D68" i="1"/>
  <c r="D192" i="1"/>
  <c r="P188" i="1"/>
  <c r="P68" i="1"/>
  <c r="P192" i="1"/>
  <c r="P190" i="1"/>
  <c r="BN7" i="2"/>
  <c r="BO7" i="2"/>
  <c r="BL7" i="2"/>
  <c r="E186" i="4"/>
  <c r="E171" i="4"/>
  <c r="E155" i="4"/>
  <c r="E150" i="4"/>
  <c r="E141" i="4"/>
  <c r="E133" i="4"/>
  <c r="E122" i="4"/>
  <c r="E66" i="4"/>
  <c r="E49" i="4"/>
  <c r="E38" i="4"/>
  <c r="E68" i="4"/>
  <c r="F7" i="21"/>
  <c r="E188" i="4"/>
  <c r="E90" i="4"/>
  <c r="E102" i="4"/>
  <c r="E104" i="4"/>
  <c r="E192" i="4"/>
  <c r="AR84" i="2"/>
  <c r="BB186" i="2"/>
  <c r="BA186" i="2"/>
  <c r="AZ186" i="2"/>
  <c r="AY186" i="2"/>
  <c r="AX186" i="2"/>
  <c r="AW186" i="2"/>
  <c r="AV186" i="2"/>
  <c r="AU186" i="2"/>
  <c r="AS186" i="2"/>
  <c r="AR186" i="2"/>
  <c r="AQ186" i="2"/>
  <c r="AP186" i="2"/>
  <c r="AO186" i="2"/>
  <c r="AN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M186" i="2"/>
  <c r="L186" i="2"/>
  <c r="K186" i="2"/>
  <c r="J186" i="2"/>
  <c r="BB171" i="2"/>
  <c r="BA171" i="2"/>
  <c r="AZ171" i="2"/>
  <c r="AY171" i="2"/>
  <c r="AX171" i="2"/>
  <c r="AW171" i="2"/>
  <c r="AV171" i="2"/>
  <c r="AU171" i="2"/>
  <c r="AS171" i="2"/>
  <c r="AR171" i="2"/>
  <c r="AQ171" i="2"/>
  <c r="AP171" i="2"/>
  <c r="AO171" i="2"/>
  <c r="AN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BB155" i="2"/>
  <c r="BA155" i="2"/>
  <c r="AZ155" i="2"/>
  <c r="AY155" i="2"/>
  <c r="AX155" i="2"/>
  <c r="AW155" i="2"/>
  <c r="AV155" i="2"/>
  <c r="AU155" i="2"/>
  <c r="AS155" i="2"/>
  <c r="AR155" i="2"/>
  <c r="AQ155" i="2"/>
  <c r="AP155" i="2"/>
  <c r="AO155" i="2"/>
  <c r="AN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M155" i="2"/>
  <c r="L155" i="2"/>
  <c r="K155" i="2"/>
  <c r="J155" i="2"/>
  <c r="BB150" i="2"/>
  <c r="BA150" i="2"/>
  <c r="AZ150" i="2"/>
  <c r="AY150" i="2"/>
  <c r="AX150" i="2"/>
  <c r="AW150" i="2"/>
  <c r="AV150" i="2"/>
  <c r="AU150" i="2"/>
  <c r="AS150" i="2"/>
  <c r="AR150" i="2"/>
  <c r="AQ150" i="2"/>
  <c r="AP150" i="2"/>
  <c r="AO150" i="2"/>
  <c r="AN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M150" i="2"/>
  <c r="L150" i="2"/>
  <c r="K150" i="2"/>
  <c r="J150" i="2"/>
  <c r="BB141" i="2"/>
  <c r="BA141" i="2"/>
  <c r="AZ141" i="2"/>
  <c r="AY141" i="2"/>
  <c r="AX141" i="2"/>
  <c r="AW141" i="2"/>
  <c r="AV141" i="2"/>
  <c r="AU141" i="2"/>
  <c r="AS141" i="2"/>
  <c r="AR141" i="2"/>
  <c r="AQ141" i="2"/>
  <c r="AP141" i="2"/>
  <c r="AO141" i="2"/>
  <c r="AN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M141" i="2"/>
  <c r="L141" i="2"/>
  <c r="K141" i="2"/>
  <c r="J141" i="2"/>
  <c r="BB133" i="2"/>
  <c r="BA133" i="2"/>
  <c r="AZ133" i="2"/>
  <c r="AY133" i="2"/>
  <c r="AX133" i="2"/>
  <c r="AW133" i="2"/>
  <c r="AV133" i="2"/>
  <c r="AU133" i="2"/>
  <c r="AS133" i="2"/>
  <c r="AR133" i="2"/>
  <c r="AQ133" i="2"/>
  <c r="AP133" i="2"/>
  <c r="AO133" i="2"/>
  <c r="AN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M133" i="2"/>
  <c r="L133" i="2"/>
  <c r="K133" i="2"/>
  <c r="J133" i="2"/>
  <c r="BB122" i="2"/>
  <c r="BA122" i="2"/>
  <c r="AZ122" i="2"/>
  <c r="AY122" i="2"/>
  <c r="AX122" i="2"/>
  <c r="AW122" i="2"/>
  <c r="AV122" i="2"/>
  <c r="AU122" i="2"/>
  <c r="AS122" i="2"/>
  <c r="AR122" i="2"/>
  <c r="AQ122" i="2"/>
  <c r="AP122" i="2"/>
  <c r="AO122" i="2"/>
  <c r="AN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M122" i="2"/>
  <c r="L122" i="2"/>
  <c r="K122" i="2"/>
  <c r="J122" i="2"/>
  <c r="AR88" i="2"/>
  <c r="G185" i="4"/>
  <c r="G184" i="4"/>
  <c r="G183" i="4"/>
  <c r="G182" i="4"/>
  <c r="G181" i="4"/>
  <c r="G180" i="4"/>
  <c r="G179" i="4"/>
  <c r="G178" i="4"/>
  <c r="G177" i="4"/>
  <c r="G176" i="4"/>
  <c r="G175" i="4"/>
  <c r="G170" i="4"/>
  <c r="G169" i="4"/>
  <c r="G168" i="4"/>
  <c r="G167" i="4"/>
  <c r="G166" i="4"/>
  <c r="G165" i="4"/>
  <c r="G163" i="4"/>
  <c r="G162" i="4"/>
  <c r="G161" i="4"/>
  <c r="G160" i="4"/>
  <c r="G159" i="4"/>
  <c r="G154" i="4"/>
  <c r="G155" i="4"/>
  <c r="G149" i="4"/>
  <c r="G148" i="4"/>
  <c r="G147" i="4"/>
  <c r="G146" i="4"/>
  <c r="G145" i="4"/>
  <c r="G144" i="4"/>
  <c r="G140" i="4"/>
  <c r="G139" i="4"/>
  <c r="G138" i="4"/>
  <c r="G137" i="4"/>
  <c r="G132" i="4"/>
  <c r="G131" i="4"/>
  <c r="G130" i="4"/>
  <c r="G129" i="4"/>
  <c r="G128" i="4"/>
  <c r="G127" i="4"/>
  <c r="G126" i="4"/>
  <c r="G125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0" i="4"/>
  <c r="G94" i="4"/>
  <c r="G93" i="4"/>
  <c r="G87" i="4"/>
  <c r="G86" i="4"/>
  <c r="G85" i="4"/>
  <c r="G84" i="4"/>
  <c r="G79" i="4"/>
  <c r="G78" i="4"/>
  <c r="G77" i="4"/>
  <c r="G76" i="4"/>
  <c r="G75" i="4"/>
  <c r="G74" i="4"/>
  <c r="G72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48" i="4"/>
  <c r="G47" i="4"/>
  <c r="G46" i="4"/>
  <c r="G45" i="4"/>
  <c r="G44" i="4"/>
  <c r="G43" i="4"/>
  <c r="G42" i="4"/>
  <c r="G41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6" i="4"/>
  <c r="G15" i="4"/>
  <c r="G14" i="4"/>
  <c r="G13" i="4"/>
  <c r="G7" i="4"/>
  <c r="G164" i="4"/>
  <c r="G158" i="4"/>
  <c r="G73" i="4"/>
  <c r="D38" i="4"/>
  <c r="D186" i="4"/>
  <c r="D155" i="4"/>
  <c r="D150" i="4"/>
  <c r="D141" i="4"/>
  <c r="D133" i="4"/>
  <c r="D122" i="4"/>
  <c r="D90" i="4"/>
  <c r="D66" i="4"/>
  <c r="D49" i="4"/>
  <c r="F181" i="5"/>
  <c r="BK181" i="2"/>
  <c r="BK164" i="2"/>
  <c r="BK158" i="2"/>
  <c r="D155" i="5"/>
  <c r="BK154" i="2"/>
  <c r="BK127" i="2"/>
  <c r="AG109" i="17"/>
  <c r="BK121" i="2"/>
  <c r="BK120" i="2"/>
  <c r="BK116" i="2"/>
  <c r="BK113" i="2"/>
  <c r="BK110" i="2"/>
  <c r="BK109" i="2"/>
  <c r="BK108" i="2"/>
  <c r="F7" i="5"/>
  <c r="F185" i="5"/>
  <c r="F184" i="5"/>
  <c r="F183" i="5"/>
  <c r="F182" i="5"/>
  <c r="F180" i="5"/>
  <c r="F179" i="5"/>
  <c r="F178" i="5"/>
  <c r="F177" i="5"/>
  <c r="F176" i="5"/>
  <c r="F175" i="5"/>
  <c r="F170" i="5"/>
  <c r="F169" i="5"/>
  <c r="F168" i="5"/>
  <c r="F167" i="5"/>
  <c r="F166" i="5"/>
  <c r="F165" i="5"/>
  <c r="F163" i="5"/>
  <c r="F162" i="5"/>
  <c r="F161" i="5"/>
  <c r="F160" i="5"/>
  <c r="F159" i="5"/>
  <c r="F158" i="5"/>
  <c r="F149" i="5"/>
  <c r="F148" i="5"/>
  <c r="F147" i="5"/>
  <c r="F146" i="5"/>
  <c r="F145" i="5"/>
  <c r="F144" i="5"/>
  <c r="F140" i="5"/>
  <c r="F139" i="5"/>
  <c r="F138" i="5"/>
  <c r="F137" i="5"/>
  <c r="F141" i="5"/>
  <c r="F132" i="5"/>
  <c r="F131" i="5"/>
  <c r="F130" i="5"/>
  <c r="F129" i="5"/>
  <c r="F128" i="5"/>
  <c r="F126" i="5"/>
  <c r="F125" i="5"/>
  <c r="F119" i="5"/>
  <c r="F118" i="5"/>
  <c r="F117" i="5"/>
  <c r="F115" i="5"/>
  <c r="F114" i="5"/>
  <c r="F112" i="5"/>
  <c r="F111" i="5"/>
  <c r="F100" i="5"/>
  <c r="F94" i="5"/>
  <c r="F93" i="5"/>
  <c r="F87" i="5"/>
  <c r="F86" i="5"/>
  <c r="F85" i="5"/>
  <c r="F84" i="5"/>
  <c r="F79" i="5"/>
  <c r="F78" i="5"/>
  <c r="F77" i="5"/>
  <c r="F76" i="5"/>
  <c r="F75" i="5"/>
  <c r="F74" i="5"/>
  <c r="F72" i="5"/>
  <c r="F65" i="5"/>
  <c r="F64" i="5"/>
  <c r="F63" i="5"/>
  <c r="F62" i="5"/>
  <c r="F61" i="5"/>
  <c r="F60" i="5"/>
  <c r="F58" i="5"/>
  <c r="F57" i="5"/>
  <c r="F56" i="5"/>
  <c r="F55" i="5"/>
  <c r="F54" i="5"/>
  <c r="F53" i="5"/>
  <c r="F48" i="5"/>
  <c r="F47" i="5"/>
  <c r="F46" i="5"/>
  <c r="F45" i="5"/>
  <c r="F44" i="5"/>
  <c r="F43" i="5"/>
  <c r="F42" i="5"/>
  <c r="F41" i="5"/>
  <c r="F4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7" i="5"/>
  <c r="F16" i="5"/>
  <c r="F15" i="5"/>
  <c r="F14" i="5"/>
  <c r="F13" i="5"/>
  <c r="BK73" i="2"/>
  <c r="D97" i="5"/>
  <c r="AG97" i="17"/>
  <c r="D150" i="5"/>
  <c r="D141" i="5"/>
  <c r="D99" i="5"/>
  <c r="AG99" i="17"/>
  <c r="D88" i="5"/>
  <c r="D66" i="5"/>
  <c r="D49" i="5"/>
  <c r="F18" i="5"/>
  <c r="F38" i="5"/>
  <c r="BK18" i="2"/>
  <c r="F110" i="5"/>
  <c r="AB188" i="2"/>
  <c r="AF188" i="2"/>
  <c r="AJ188" i="2"/>
  <c r="AS188" i="2"/>
  <c r="Z188" i="2"/>
  <c r="AD188" i="2"/>
  <c r="AH188" i="2"/>
  <c r="AL188" i="2"/>
  <c r="AX188" i="2"/>
  <c r="BB188" i="2"/>
  <c r="AW188" i="2"/>
  <c r="BA188" i="2"/>
  <c r="AO188" i="2"/>
  <c r="X188" i="2"/>
  <c r="AQ188" i="2"/>
  <c r="Y188" i="2"/>
  <c r="AC188" i="2"/>
  <c r="AG188" i="2"/>
  <c r="AK188" i="2"/>
  <c r="AP188" i="2"/>
  <c r="AU188" i="2"/>
  <c r="AY188" i="2"/>
  <c r="W188" i="2"/>
  <c r="AA188" i="2"/>
  <c r="AE188" i="2"/>
  <c r="AI188" i="2"/>
  <c r="AN188" i="2"/>
  <c r="AV188" i="2"/>
  <c r="AZ188" i="2"/>
  <c r="AR188" i="2"/>
  <c r="D133" i="5"/>
  <c r="F73" i="5"/>
  <c r="F80" i="5"/>
  <c r="F88" i="5"/>
  <c r="F90" i="5"/>
  <c r="D171" i="5"/>
  <c r="D186" i="5"/>
  <c r="D80" i="5"/>
  <c r="D101" i="5"/>
  <c r="AG101" i="17"/>
  <c r="F59" i="5"/>
  <c r="F66" i="5"/>
  <c r="F113" i="5"/>
  <c r="F116" i="5"/>
  <c r="D171" i="4"/>
  <c r="G17" i="4"/>
  <c r="G38" i="4"/>
  <c r="BJ88" i="2"/>
  <c r="G171" i="4"/>
  <c r="G49" i="4"/>
  <c r="G66" i="4"/>
  <c r="G133" i="4"/>
  <c r="G141" i="4"/>
  <c r="G80" i="4"/>
  <c r="G88" i="4"/>
  <c r="G90" i="4"/>
  <c r="G150" i="4"/>
  <c r="D68" i="4"/>
  <c r="G186" i="4"/>
  <c r="D188" i="4"/>
  <c r="F154" i="5"/>
  <c r="F155" i="5"/>
  <c r="F127" i="5"/>
  <c r="F133" i="5"/>
  <c r="F121" i="5"/>
  <c r="F108" i="5"/>
  <c r="F186" i="5"/>
  <c r="D38" i="5"/>
  <c r="D122" i="5"/>
  <c r="F150" i="5"/>
  <c r="D68" i="5"/>
  <c r="D188" i="5"/>
  <c r="D96" i="5"/>
  <c r="AG96" i="17"/>
  <c r="D98" i="5"/>
  <c r="AG98" i="17"/>
  <c r="F68" i="5"/>
  <c r="D95" i="5"/>
  <c r="AG95" i="17"/>
  <c r="D90" i="5"/>
  <c r="G68" i="4"/>
  <c r="D102" i="4"/>
  <c r="D104" i="4"/>
  <c r="D192" i="4"/>
  <c r="D102" i="5"/>
  <c r="D104" i="5"/>
  <c r="D192" i="5"/>
  <c r="E68" i="6"/>
  <c r="D68" i="6"/>
  <c r="C186" i="5"/>
  <c r="C155" i="5"/>
  <c r="C150" i="5"/>
  <c r="C141" i="5"/>
  <c r="C133" i="5"/>
  <c r="C88" i="5"/>
  <c r="C80" i="5"/>
  <c r="C90" i="5"/>
  <c r="C66" i="5"/>
  <c r="C49" i="5"/>
  <c r="C38" i="5"/>
  <c r="C186" i="4"/>
  <c r="C171" i="4"/>
  <c r="C155" i="4"/>
  <c r="C150" i="4"/>
  <c r="C141" i="4"/>
  <c r="C133" i="4"/>
  <c r="C90" i="4"/>
  <c r="C66" i="4"/>
  <c r="C49" i="4"/>
  <c r="C38" i="4"/>
  <c r="C68" i="4"/>
  <c r="P186" i="3"/>
  <c r="M186" i="3"/>
  <c r="J186" i="3"/>
  <c r="G186" i="3"/>
  <c r="D186" i="3"/>
  <c r="C186" i="3"/>
  <c r="P171" i="3"/>
  <c r="J171" i="3"/>
  <c r="G171" i="3"/>
  <c r="D171" i="3"/>
  <c r="P155" i="3"/>
  <c r="M155" i="3"/>
  <c r="J155" i="3"/>
  <c r="G155" i="3"/>
  <c r="D155" i="3"/>
  <c r="C155" i="3"/>
  <c r="P150" i="3"/>
  <c r="M150" i="3"/>
  <c r="C150" i="3"/>
  <c r="P141" i="3"/>
  <c r="M141" i="3"/>
  <c r="J141" i="3"/>
  <c r="G141" i="3"/>
  <c r="D141" i="3"/>
  <c r="C141" i="3"/>
  <c r="P133" i="3"/>
  <c r="M133" i="3"/>
  <c r="J133" i="3"/>
  <c r="G133" i="3"/>
  <c r="D133" i="3"/>
  <c r="C133" i="3"/>
  <c r="P122" i="3"/>
  <c r="M122" i="3"/>
  <c r="J122" i="3"/>
  <c r="G122" i="3"/>
  <c r="D122" i="3"/>
  <c r="C122" i="3"/>
  <c r="C68" i="5"/>
  <c r="I185" i="7"/>
  <c r="I184" i="7"/>
  <c r="I183" i="7"/>
  <c r="I182" i="7"/>
  <c r="I181" i="7"/>
  <c r="I180" i="7"/>
  <c r="I179" i="7"/>
  <c r="I178" i="7"/>
  <c r="I177" i="7"/>
  <c r="I176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4" i="7"/>
  <c r="I149" i="7"/>
  <c r="I147" i="7"/>
  <c r="I145" i="7"/>
  <c r="I144" i="7"/>
  <c r="I140" i="7"/>
  <c r="I139" i="7"/>
  <c r="I138" i="7"/>
  <c r="I137" i="7"/>
  <c r="I132" i="7"/>
  <c r="I131" i="7"/>
  <c r="I130" i="7"/>
  <c r="I129" i="7"/>
  <c r="I128" i="7"/>
  <c r="I127" i="7"/>
  <c r="I126" i="7"/>
  <c r="I125" i="7"/>
  <c r="I121" i="7"/>
  <c r="I120" i="7"/>
  <c r="I119" i="7"/>
  <c r="I118" i="7"/>
  <c r="I117" i="7"/>
  <c r="I116" i="7"/>
  <c r="I115" i="7"/>
  <c r="I114" i="7"/>
  <c r="I113" i="7"/>
  <c r="I112" i="7"/>
  <c r="I111" i="7"/>
  <c r="I109" i="7"/>
  <c r="I108" i="7"/>
  <c r="I100" i="7"/>
  <c r="I87" i="7"/>
  <c r="I86" i="7"/>
  <c r="I85" i="7"/>
  <c r="I84" i="7"/>
  <c r="I79" i="7"/>
  <c r="I78" i="7"/>
  <c r="I75" i="7"/>
  <c r="I74" i="7"/>
  <c r="I73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66" i="7"/>
  <c r="I48" i="7"/>
  <c r="I47" i="7"/>
  <c r="I46" i="7"/>
  <c r="I45" i="7"/>
  <c r="I44" i="7"/>
  <c r="I43" i="7"/>
  <c r="I42" i="7"/>
  <c r="I41" i="7"/>
  <c r="I40" i="7"/>
  <c r="I37" i="7"/>
  <c r="I36" i="7"/>
  <c r="I35" i="7"/>
  <c r="I34" i="7"/>
  <c r="I33" i="7"/>
  <c r="I32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E93" i="7"/>
  <c r="L93" i="26"/>
  <c r="D93" i="7"/>
  <c r="K93" i="26"/>
  <c r="D66" i="7"/>
  <c r="E66" i="7"/>
  <c r="F66" i="7"/>
  <c r="G66" i="7"/>
  <c r="D49" i="7"/>
  <c r="E49" i="7"/>
  <c r="F49" i="7"/>
  <c r="G49" i="7"/>
  <c r="E38" i="7"/>
  <c r="E68" i="7"/>
  <c r="F38" i="7"/>
  <c r="G38" i="7"/>
  <c r="D88" i="7"/>
  <c r="E88" i="7"/>
  <c r="F88" i="7"/>
  <c r="G88" i="7"/>
  <c r="D122" i="7"/>
  <c r="E122" i="7"/>
  <c r="F122" i="7"/>
  <c r="G122" i="7"/>
  <c r="D133" i="7"/>
  <c r="E133" i="7"/>
  <c r="F133" i="7"/>
  <c r="G133" i="7"/>
  <c r="D141" i="7"/>
  <c r="E141" i="7"/>
  <c r="F141" i="7"/>
  <c r="G141" i="7"/>
  <c r="F150" i="7"/>
  <c r="G150" i="7"/>
  <c r="D155" i="7"/>
  <c r="E155" i="7"/>
  <c r="F155" i="7"/>
  <c r="G155" i="7"/>
  <c r="D171" i="7"/>
  <c r="E171" i="7"/>
  <c r="F171" i="7"/>
  <c r="G171" i="7"/>
  <c r="D186" i="7"/>
  <c r="F186" i="7"/>
  <c r="G186" i="7"/>
  <c r="I155" i="7"/>
  <c r="I13" i="7"/>
  <c r="D186" i="8"/>
  <c r="E186" i="8"/>
  <c r="C186" i="8"/>
  <c r="BB66" i="2"/>
  <c r="BA66" i="2"/>
  <c r="AZ66" i="2"/>
  <c r="AY66" i="2"/>
  <c r="AX66" i="2"/>
  <c r="AW66" i="2"/>
  <c r="AV66" i="2"/>
  <c r="AU66" i="2"/>
  <c r="AS66" i="2"/>
  <c r="AR66" i="2"/>
  <c r="AQ66" i="2"/>
  <c r="AP66" i="2"/>
  <c r="AO66" i="2"/>
  <c r="AN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M66" i="2"/>
  <c r="L66" i="2"/>
  <c r="K66" i="2"/>
  <c r="J66" i="2"/>
  <c r="AU155" i="21"/>
  <c r="O66" i="17"/>
  <c r="O68" i="17"/>
  <c r="W66" i="17"/>
  <c r="W68" i="17"/>
  <c r="S66" i="17"/>
  <c r="S68" i="17"/>
  <c r="M66" i="17"/>
  <c r="M68" i="17"/>
  <c r="X66" i="17"/>
  <c r="X68" i="17"/>
  <c r="V66" i="17"/>
  <c r="U66" i="17"/>
  <c r="T66" i="17"/>
  <c r="T68" i="17"/>
  <c r="R66" i="17"/>
  <c r="P66" i="17"/>
  <c r="P68" i="17"/>
  <c r="N66" i="17"/>
  <c r="L66" i="17"/>
  <c r="L68" i="17"/>
  <c r="J66" i="17"/>
  <c r="I66" i="17"/>
  <c r="J68" i="17"/>
  <c r="U88" i="17"/>
  <c r="AE155" i="17"/>
  <c r="BI155" i="2"/>
  <c r="AI88" i="21"/>
  <c r="AH88" i="21"/>
  <c r="F185" i="21"/>
  <c r="F184" i="21"/>
  <c r="F183" i="21"/>
  <c r="F182" i="21"/>
  <c r="F181" i="21"/>
  <c r="F180" i="21"/>
  <c r="F179" i="21"/>
  <c r="F178" i="21"/>
  <c r="F177" i="21"/>
  <c r="F176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4" i="21"/>
  <c r="F155" i="21"/>
  <c r="F149" i="21"/>
  <c r="F148" i="21"/>
  <c r="F147" i="21"/>
  <c r="F146" i="21"/>
  <c r="F145" i="21"/>
  <c r="F144" i="21"/>
  <c r="F140" i="21"/>
  <c r="F139" i="21"/>
  <c r="F138" i="21"/>
  <c r="F137" i="21"/>
  <c r="F132" i="21"/>
  <c r="F131" i="21"/>
  <c r="F130" i="21"/>
  <c r="F129" i="21"/>
  <c r="F128" i="21"/>
  <c r="F127" i="21"/>
  <c r="F126" i="21"/>
  <c r="F125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0" i="21"/>
  <c r="F87" i="21"/>
  <c r="F86" i="21"/>
  <c r="F85" i="21"/>
  <c r="F79" i="21"/>
  <c r="F78" i="21"/>
  <c r="F77" i="21"/>
  <c r="F76" i="21"/>
  <c r="F75" i="21"/>
  <c r="F74" i="21"/>
  <c r="F72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48" i="21"/>
  <c r="F47" i="21"/>
  <c r="F46" i="21"/>
  <c r="F45" i="21"/>
  <c r="F44" i="21"/>
  <c r="F43" i="21"/>
  <c r="F42" i="21"/>
  <c r="F41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E185" i="21"/>
  <c r="E184" i="21"/>
  <c r="E183" i="21"/>
  <c r="E182" i="21"/>
  <c r="E181" i="21"/>
  <c r="E180" i="21"/>
  <c r="E179" i="21"/>
  <c r="E178" i="21"/>
  <c r="E177" i="21"/>
  <c r="E176" i="21"/>
  <c r="E170" i="21"/>
  <c r="E169" i="21"/>
  <c r="E168" i="21"/>
  <c r="E167" i="21"/>
  <c r="E166" i="21"/>
  <c r="E165" i="21"/>
  <c r="E164" i="21"/>
  <c r="E163" i="21"/>
  <c r="E162" i="21"/>
  <c r="E161" i="21"/>
  <c r="E160" i="21"/>
  <c r="E159" i="21"/>
  <c r="E154" i="21"/>
  <c r="E155" i="21"/>
  <c r="E149" i="21"/>
  <c r="E148" i="21"/>
  <c r="E147" i="21"/>
  <c r="E146" i="21"/>
  <c r="E145" i="21"/>
  <c r="E144" i="21"/>
  <c r="E140" i="21"/>
  <c r="E139" i="21"/>
  <c r="E138" i="21"/>
  <c r="E137" i="21"/>
  <c r="E132" i="21"/>
  <c r="E131" i="21"/>
  <c r="E130" i="21"/>
  <c r="E129" i="21"/>
  <c r="E128" i="21"/>
  <c r="E127" i="21"/>
  <c r="E126" i="21"/>
  <c r="E125" i="21"/>
  <c r="E121" i="21"/>
  <c r="E120" i="21"/>
  <c r="E119" i="21"/>
  <c r="E118" i="21"/>
  <c r="E117" i="21"/>
  <c r="E116" i="21"/>
  <c r="E114" i="21"/>
  <c r="E113" i="21"/>
  <c r="E112" i="21"/>
  <c r="E111" i="21"/>
  <c r="E110" i="21"/>
  <c r="E109" i="21"/>
  <c r="E108" i="21"/>
  <c r="E100" i="21"/>
  <c r="E87" i="21"/>
  <c r="E86" i="21"/>
  <c r="E85" i="21"/>
  <c r="E79" i="21"/>
  <c r="E78" i="21"/>
  <c r="E77" i="21"/>
  <c r="E76" i="21"/>
  <c r="E75" i="21"/>
  <c r="E72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48" i="21"/>
  <c r="E47" i="21"/>
  <c r="E46" i="21"/>
  <c r="E45" i="21"/>
  <c r="E44" i="21"/>
  <c r="E43" i="21"/>
  <c r="E42" i="21"/>
  <c r="E41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H171" i="21"/>
  <c r="AI155" i="21"/>
  <c r="AH155" i="21"/>
  <c r="AG155" i="21"/>
  <c r="AF155" i="21"/>
  <c r="AE155" i="21"/>
  <c r="AD155" i="21"/>
  <c r="AC155" i="21"/>
  <c r="AB155" i="21"/>
  <c r="AA155" i="21"/>
  <c r="Z155" i="21"/>
  <c r="Y155" i="21"/>
  <c r="X155" i="21"/>
  <c r="W155" i="21"/>
  <c r="V155" i="21"/>
  <c r="S155" i="21"/>
  <c r="R155" i="21"/>
  <c r="Q155" i="21"/>
  <c r="O155" i="21"/>
  <c r="M155" i="21"/>
  <c r="L155" i="21"/>
  <c r="K155" i="21"/>
  <c r="J155" i="21"/>
  <c r="H155" i="21"/>
  <c r="G155" i="21"/>
  <c r="AI150" i="21"/>
  <c r="AH150" i="21"/>
  <c r="AG150" i="21"/>
  <c r="AF150" i="21"/>
  <c r="AE150" i="21"/>
  <c r="AD150" i="21"/>
  <c r="AC150" i="21"/>
  <c r="AB150" i="21"/>
  <c r="AA150" i="21"/>
  <c r="Z150" i="21"/>
  <c r="Y150" i="21"/>
  <c r="X150" i="21"/>
  <c r="W150" i="21"/>
  <c r="V150" i="21"/>
  <c r="S150" i="21"/>
  <c r="R150" i="21"/>
  <c r="Q150" i="21"/>
  <c r="O150" i="21"/>
  <c r="M150" i="21"/>
  <c r="L150" i="21"/>
  <c r="K150" i="21"/>
  <c r="J150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S141" i="21"/>
  <c r="R141" i="21"/>
  <c r="Q141" i="21"/>
  <c r="O141" i="21"/>
  <c r="M141" i="21"/>
  <c r="L141" i="21"/>
  <c r="K141" i="21"/>
  <c r="J141" i="21"/>
  <c r="H141" i="21"/>
  <c r="G141" i="21"/>
  <c r="AI133" i="21"/>
  <c r="AH133" i="21"/>
  <c r="AG133" i="21"/>
  <c r="AF133" i="21"/>
  <c r="AE133" i="21"/>
  <c r="AD133" i="21"/>
  <c r="AC133" i="21"/>
  <c r="AB133" i="21"/>
  <c r="AA133" i="21"/>
  <c r="Z133" i="21"/>
  <c r="Y133" i="21"/>
  <c r="X133" i="21"/>
  <c r="W133" i="21"/>
  <c r="V133" i="21"/>
  <c r="S133" i="21"/>
  <c r="R133" i="21"/>
  <c r="Q133" i="21"/>
  <c r="O133" i="21"/>
  <c r="M133" i="21"/>
  <c r="L133" i="21"/>
  <c r="K133" i="21"/>
  <c r="J133" i="21"/>
  <c r="H133" i="21"/>
  <c r="G133" i="21"/>
  <c r="AG122" i="21"/>
  <c r="AE122" i="21"/>
  <c r="AD122" i="21"/>
  <c r="AC122" i="21"/>
  <c r="AB122" i="21"/>
  <c r="AA122" i="21"/>
  <c r="Z122" i="21"/>
  <c r="Y122" i="21"/>
  <c r="X122" i="21"/>
  <c r="W122" i="21"/>
  <c r="V122" i="21"/>
  <c r="S122" i="21"/>
  <c r="R122" i="21"/>
  <c r="Q122" i="21"/>
  <c r="O122" i="21"/>
  <c r="M122" i="21"/>
  <c r="L122" i="21"/>
  <c r="K122" i="21"/>
  <c r="J122" i="21"/>
  <c r="H122" i="21"/>
  <c r="G122" i="21"/>
  <c r="H88" i="21"/>
  <c r="G88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S66" i="21"/>
  <c r="R66" i="21"/>
  <c r="Q66" i="21"/>
  <c r="O66" i="21"/>
  <c r="M66" i="21"/>
  <c r="L66" i="21"/>
  <c r="K66" i="21"/>
  <c r="J66" i="21"/>
  <c r="H66" i="21"/>
  <c r="G66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S49" i="21"/>
  <c r="R49" i="21"/>
  <c r="Q49" i="21"/>
  <c r="O49" i="21"/>
  <c r="M49" i="21"/>
  <c r="L49" i="21"/>
  <c r="K49" i="21"/>
  <c r="J49" i="21"/>
  <c r="H49" i="21"/>
  <c r="G49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S38" i="21"/>
  <c r="R38" i="21"/>
  <c r="Q38" i="21"/>
  <c r="O38" i="21"/>
  <c r="M38" i="21"/>
  <c r="L38" i="21"/>
  <c r="K38" i="21"/>
  <c r="J38" i="21"/>
  <c r="H38" i="21"/>
  <c r="G38" i="21"/>
  <c r="AY155" i="21"/>
  <c r="AW155" i="21"/>
  <c r="AV155" i="21"/>
  <c r="AT155" i="21"/>
  <c r="AS155" i="21"/>
  <c r="AR155" i="21"/>
  <c r="AQ155" i="21"/>
  <c r="AP155" i="21"/>
  <c r="AZ13" i="21"/>
  <c r="AQ13" i="21"/>
  <c r="AR13" i="21"/>
  <c r="AS13" i="21"/>
  <c r="AZ155" i="21"/>
  <c r="C155" i="21"/>
  <c r="C141" i="21"/>
  <c r="C122" i="21"/>
  <c r="C102" i="21"/>
  <c r="C88" i="21"/>
  <c r="C80" i="21"/>
  <c r="C155" i="17"/>
  <c r="C150" i="17"/>
  <c r="C141" i="17"/>
  <c r="C122" i="17"/>
  <c r="C102" i="17"/>
  <c r="G88" i="17"/>
  <c r="F88" i="17"/>
  <c r="C88" i="17"/>
  <c r="C80" i="17"/>
  <c r="G66" i="17"/>
  <c r="C66" i="17"/>
  <c r="AK155" i="17"/>
  <c r="AH155" i="17"/>
  <c r="AG155" i="17"/>
  <c r="AF155" i="17"/>
  <c r="AD155" i="17"/>
  <c r="AC155" i="17"/>
  <c r="AB155" i="17"/>
  <c r="AA155" i="17"/>
  <c r="Z155" i="17"/>
  <c r="BK155" i="2"/>
  <c r="BM155" i="2"/>
  <c r="BO155" i="2"/>
  <c r="I133" i="7"/>
  <c r="I141" i="7"/>
  <c r="G68" i="7"/>
  <c r="F68" i="7"/>
  <c r="I49" i="7"/>
  <c r="I88" i="7"/>
  <c r="G175" i="21"/>
  <c r="L175" i="21"/>
  <c r="L186" i="21"/>
  <c r="R175" i="21"/>
  <c r="R186" i="21"/>
  <c r="W175" i="21"/>
  <c r="W186" i="21"/>
  <c r="AA175" i="21"/>
  <c r="AA186" i="21"/>
  <c r="AE175" i="21"/>
  <c r="AE186" i="21"/>
  <c r="AI175" i="21"/>
  <c r="AI186" i="21"/>
  <c r="J175" i="21"/>
  <c r="J186" i="21"/>
  <c r="O175" i="21"/>
  <c r="O186" i="21"/>
  <c r="V175" i="21"/>
  <c r="V186" i="21"/>
  <c r="Y175" i="21"/>
  <c r="Y186" i="21"/>
  <c r="AC175" i="21"/>
  <c r="AC186" i="21"/>
  <c r="AG175" i="21"/>
  <c r="AG186" i="21"/>
  <c r="H175" i="21"/>
  <c r="H186" i="21"/>
  <c r="M175" i="21"/>
  <c r="M186" i="21"/>
  <c r="S175" i="21"/>
  <c r="S186" i="21"/>
  <c r="X175" i="21"/>
  <c r="X186" i="21"/>
  <c r="AB175" i="21"/>
  <c r="AB186" i="21"/>
  <c r="AF175" i="21"/>
  <c r="AF186" i="21"/>
  <c r="K175" i="21"/>
  <c r="K186" i="21"/>
  <c r="Q175" i="21"/>
  <c r="Q186" i="21"/>
  <c r="Z175" i="21"/>
  <c r="Z186" i="21"/>
  <c r="AD175" i="21"/>
  <c r="AD186" i="21"/>
  <c r="AH175" i="21"/>
  <c r="AH186" i="21"/>
  <c r="V68" i="17"/>
  <c r="U68" i="17"/>
  <c r="I68" i="17"/>
  <c r="N68" i="17"/>
  <c r="R68" i="17"/>
  <c r="J68" i="2"/>
  <c r="O68" i="2"/>
  <c r="S68" i="2"/>
  <c r="W68" i="2"/>
  <c r="AA68" i="2"/>
  <c r="AE68" i="2"/>
  <c r="AI68" i="2"/>
  <c r="AN68" i="2"/>
  <c r="AR68" i="2"/>
  <c r="AW68" i="2"/>
  <c r="BA68" i="2"/>
  <c r="L68" i="2"/>
  <c r="Q68" i="2"/>
  <c r="U68" i="2"/>
  <c r="Y68" i="2"/>
  <c r="AC68" i="2"/>
  <c r="AG68" i="2"/>
  <c r="AK68" i="2"/>
  <c r="AP68" i="2"/>
  <c r="AU68" i="2"/>
  <c r="AY68" i="2"/>
  <c r="K68" i="2"/>
  <c r="P68" i="2"/>
  <c r="T68" i="2"/>
  <c r="X68" i="2"/>
  <c r="AB68" i="2"/>
  <c r="AF68" i="2"/>
  <c r="AJ68" i="2"/>
  <c r="AO68" i="2"/>
  <c r="AS68" i="2"/>
  <c r="AX68" i="2"/>
  <c r="BB68" i="2"/>
  <c r="M68" i="2"/>
  <c r="R68" i="2"/>
  <c r="V68" i="2"/>
  <c r="Z68" i="2"/>
  <c r="AD68" i="2"/>
  <c r="AH68" i="2"/>
  <c r="AL68" i="2"/>
  <c r="AQ68" i="2"/>
  <c r="AV68" i="2"/>
  <c r="AZ68" i="2"/>
  <c r="BI171" i="2"/>
  <c r="AU141" i="21"/>
  <c r="AU88" i="21"/>
  <c r="G186" i="21"/>
  <c r="AB68" i="21"/>
  <c r="L68" i="21"/>
  <c r="R68" i="21"/>
  <c r="W68" i="21"/>
  <c r="AA68" i="21"/>
  <c r="AE68" i="21"/>
  <c r="AI68" i="21"/>
  <c r="F189" i="7"/>
  <c r="G68" i="17"/>
  <c r="AF88" i="17"/>
  <c r="AE141" i="17"/>
  <c r="AE133" i="17"/>
  <c r="AE88" i="17"/>
  <c r="G189" i="7"/>
  <c r="F150" i="21"/>
  <c r="F171" i="21"/>
  <c r="F94" i="21"/>
  <c r="AZ122" i="21"/>
  <c r="AZ141" i="21"/>
  <c r="M68" i="21"/>
  <c r="AF68" i="21"/>
  <c r="E38" i="21"/>
  <c r="E49" i="21"/>
  <c r="E133" i="21"/>
  <c r="E141" i="21"/>
  <c r="J68" i="21"/>
  <c r="O68" i="21"/>
  <c r="V68" i="21"/>
  <c r="Y68" i="21"/>
  <c r="AC68" i="21"/>
  <c r="AG68" i="21"/>
  <c r="S68" i="21"/>
  <c r="X68" i="21"/>
  <c r="E150" i="21"/>
  <c r="AW66" i="21"/>
  <c r="AP122" i="21"/>
  <c r="AU66" i="21"/>
  <c r="F99" i="21"/>
  <c r="AU171" i="21"/>
  <c r="G68" i="21"/>
  <c r="AU150" i="21"/>
  <c r="AQ49" i="21"/>
  <c r="AV49" i="21"/>
  <c r="AZ49" i="21"/>
  <c r="AU49" i="21"/>
  <c r="AU38" i="21"/>
  <c r="AU122" i="21"/>
  <c r="H68" i="21"/>
  <c r="AU133" i="21"/>
  <c r="AE150" i="17"/>
  <c r="AJ49" i="17"/>
  <c r="AK122" i="17"/>
  <c r="AH141" i="17"/>
  <c r="AH171" i="17"/>
  <c r="C90" i="17"/>
  <c r="C104" i="17"/>
  <c r="AE49" i="17"/>
  <c r="AE38" i="17"/>
  <c r="AC49" i="17"/>
  <c r="AA66" i="17"/>
  <c r="AB88" i="17"/>
  <c r="AA171" i="17"/>
  <c r="AE171" i="17"/>
  <c r="AE122" i="17"/>
  <c r="AE66" i="17"/>
  <c r="BI150" i="2"/>
  <c r="BI38" i="2"/>
  <c r="BI49" i="2"/>
  <c r="BI88" i="2"/>
  <c r="BI122" i="2"/>
  <c r="BI133" i="2"/>
  <c r="BI141" i="2"/>
  <c r="BL88" i="2"/>
  <c r="BO133" i="2"/>
  <c r="BN141" i="2"/>
  <c r="BO141" i="2"/>
  <c r="BO150" i="2"/>
  <c r="BO171" i="2"/>
  <c r="AR49" i="21"/>
  <c r="AJ133" i="17"/>
  <c r="AK150" i="17"/>
  <c r="Z88" i="17"/>
  <c r="AC122" i="17"/>
  <c r="AB133" i="17"/>
  <c r="AC141" i="17"/>
  <c r="AD150" i="17"/>
  <c r="AC171" i="17"/>
  <c r="AF49" i="17"/>
  <c r="AF122" i="17"/>
  <c r="AF141" i="17"/>
  <c r="AF171" i="17"/>
  <c r="AG141" i="17"/>
  <c r="AG150" i="17"/>
  <c r="AK38" i="17"/>
  <c r="AK49" i="17"/>
  <c r="AH88" i="17"/>
  <c r="AH122" i="17"/>
  <c r="AK88" i="17"/>
  <c r="BM122" i="2"/>
  <c r="BM133" i="2"/>
  <c r="BM141" i="2"/>
  <c r="BM150" i="2"/>
  <c r="BM171" i="2"/>
  <c r="BL66" i="2"/>
  <c r="BL171" i="2"/>
  <c r="BN133" i="2"/>
  <c r="BN150" i="2"/>
  <c r="BI66" i="2"/>
  <c r="BM66" i="2"/>
  <c r="BM88" i="2"/>
  <c r="BL141" i="2"/>
  <c r="BM49" i="2"/>
  <c r="BK133" i="2"/>
  <c r="F84" i="21"/>
  <c r="K68" i="21"/>
  <c r="Q68" i="21"/>
  <c r="Z68" i="21"/>
  <c r="AD68" i="21"/>
  <c r="AH68" i="21"/>
  <c r="AZ38" i="21"/>
  <c r="AV38" i="21"/>
  <c r="AV175" i="21"/>
  <c r="AQ38" i="21"/>
  <c r="BB86" i="21"/>
  <c r="I86" i="1"/>
  <c r="F133" i="21"/>
  <c r="AT122" i="21"/>
  <c r="AY150" i="21"/>
  <c r="AW171" i="21"/>
  <c r="F38" i="21"/>
  <c r="F49" i="21"/>
  <c r="F66" i="21"/>
  <c r="F141" i="21"/>
  <c r="F122" i="21"/>
  <c r="E66" i="21"/>
  <c r="AG171" i="17"/>
  <c r="AB38" i="17"/>
  <c r="Z38" i="17"/>
  <c r="AM86" i="17"/>
  <c r="F86" i="1"/>
  <c r="AB122" i="17"/>
  <c r="Z122" i="17"/>
  <c r="AD133" i="17"/>
  <c r="AC133" i="17"/>
  <c r="Z141" i="17"/>
  <c r="AF66" i="17"/>
  <c r="AF80" i="17"/>
  <c r="AG49" i="17"/>
  <c r="AG66" i="17"/>
  <c r="AG80" i="17"/>
  <c r="AG133" i="17"/>
  <c r="AH66" i="17"/>
  <c r="AJ88" i="17"/>
  <c r="AK133" i="17"/>
  <c r="AK141" i="17"/>
  <c r="AD38" i="17"/>
  <c r="AC38" i="17"/>
  <c r="AC175" i="17"/>
  <c r="AD49" i="17"/>
  <c r="Z66" i="17"/>
  <c r="AA122" i="17"/>
  <c r="Z133" i="17"/>
  <c r="AD141" i="17"/>
  <c r="AB171" i="17"/>
  <c r="AH38" i="17"/>
  <c r="AH49" i="17"/>
  <c r="AJ141" i="17"/>
  <c r="AK171" i="17"/>
  <c r="Z49" i="17"/>
  <c r="AD66" i="17"/>
  <c r="AC66" i="17"/>
  <c r="AB66" i="17"/>
  <c r="AA133" i="17"/>
  <c r="AF133" i="17"/>
  <c r="AF150" i="17"/>
  <c r="AG88" i="17"/>
  <c r="AA38" i="17"/>
  <c r="AD88" i="17"/>
  <c r="AC88" i="17"/>
  <c r="AA88" i="17"/>
  <c r="AD122" i="17"/>
  <c r="AB141" i="17"/>
  <c r="AA141" i="17"/>
  <c r="Z150" i="17"/>
  <c r="AJ122" i="17"/>
  <c r="C90" i="21"/>
  <c r="C104" i="21"/>
  <c r="AV80" i="21"/>
  <c r="AP88" i="21"/>
  <c r="AT88" i="21"/>
  <c r="AZ88" i="21"/>
  <c r="AY122" i="21"/>
  <c r="AP133" i="21"/>
  <c r="AT133" i="21"/>
  <c r="AS141" i="21"/>
  <c r="AR171" i="21"/>
  <c r="AP38" i="21"/>
  <c r="AP66" i="21"/>
  <c r="AT66" i="21"/>
  <c r="AS66" i="21"/>
  <c r="AW88" i="21"/>
  <c r="AQ122" i="21"/>
  <c r="AR133" i="21"/>
  <c r="AW133" i="21"/>
  <c r="AQ141" i="21"/>
  <c r="AV141" i="21"/>
  <c r="AP150" i="21"/>
  <c r="AT150" i="21"/>
  <c r="AZ150" i="21"/>
  <c r="AZ171" i="21"/>
  <c r="AS171" i="21"/>
  <c r="AW38" i="21"/>
  <c r="AW49" i="21"/>
  <c r="AW175" i="21"/>
  <c r="AQ66" i="21"/>
  <c r="AV66" i="21"/>
  <c r="AS88" i="21"/>
  <c r="AY88" i="21"/>
  <c r="AS133" i="21"/>
  <c r="AR141" i="21"/>
  <c r="AW141" i="21"/>
  <c r="AV150" i="21"/>
  <c r="AQ171" i="21"/>
  <c r="AV171" i="21"/>
  <c r="AT38" i="21"/>
  <c r="AS38" i="21"/>
  <c r="AR38" i="21"/>
  <c r="AS49" i="21"/>
  <c r="AR66" i="21"/>
  <c r="AQ88" i="21"/>
  <c r="AV88" i="21"/>
  <c r="AR122" i="21"/>
  <c r="AY133" i="21"/>
  <c r="AP49" i="21"/>
  <c r="AT49" i="21"/>
  <c r="AY49" i="21"/>
  <c r="AR88" i="21"/>
  <c r="AS122" i="21"/>
  <c r="AW122" i="21"/>
  <c r="AQ133" i="21"/>
  <c r="AV133" i="21"/>
  <c r="AZ133" i="21"/>
  <c r="AP141" i="21"/>
  <c r="AT141" i="21"/>
  <c r="AY141" i="21"/>
  <c r="AW150" i="21"/>
  <c r="AG38" i="17"/>
  <c r="AG175" i="17"/>
  <c r="AF38" i="17"/>
  <c r="AF175" i="17"/>
  <c r="AA49" i="17"/>
  <c r="AB49" i="17"/>
  <c r="BK141" i="2"/>
  <c r="BL155" i="2"/>
  <c r="BL49" i="2"/>
  <c r="BL38" i="2"/>
  <c r="BM38" i="2"/>
  <c r="BO122" i="2"/>
  <c r="BO38" i="2"/>
  <c r="BO49" i="2"/>
  <c r="BO175" i="2"/>
  <c r="BO88" i="2"/>
  <c r="BN88" i="2"/>
  <c r="BN122" i="2"/>
  <c r="BL122" i="2"/>
  <c r="BL80" i="2"/>
  <c r="BN49" i="2"/>
  <c r="BL133" i="2"/>
  <c r="BK150" i="2"/>
  <c r="BK88" i="2"/>
  <c r="BK80" i="2"/>
  <c r="BK66" i="2"/>
  <c r="BK49" i="2"/>
  <c r="BK38" i="2"/>
  <c r="BK175" i="2"/>
  <c r="BE122" i="2"/>
  <c r="BF122" i="2"/>
  <c r="BG122" i="2"/>
  <c r="BH122" i="2"/>
  <c r="BE133" i="2"/>
  <c r="BF133" i="2"/>
  <c r="BG133" i="2"/>
  <c r="BH133" i="2"/>
  <c r="BJ133" i="2"/>
  <c r="BD133" i="2"/>
  <c r="BJ141" i="2"/>
  <c r="BJ150" i="2"/>
  <c r="BJ155" i="2"/>
  <c r="BJ171" i="2"/>
  <c r="BJ80" i="2"/>
  <c r="BJ66" i="2"/>
  <c r="BJ49" i="2"/>
  <c r="BJ38" i="2"/>
  <c r="BH155" i="2"/>
  <c r="BG155" i="2"/>
  <c r="BF155" i="2"/>
  <c r="BE155" i="2"/>
  <c r="BD155" i="2"/>
  <c r="BG171" i="2"/>
  <c r="BF171" i="2"/>
  <c r="BE171" i="2"/>
  <c r="BH150" i="2"/>
  <c r="BD150" i="2"/>
  <c r="BH141" i="2"/>
  <c r="BG141" i="2"/>
  <c r="BF141" i="2"/>
  <c r="BE141" i="2"/>
  <c r="BD141" i="2"/>
  <c r="BD122" i="2"/>
  <c r="BH88" i="2"/>
  <c r="BG88" i="2"/>
  <c r="BF88" i="2"/>
  <c r="BE88" i="2"/>
  <c r="BD88" i="2"/>
  <c r="BH66" i="2"/>
  <c r="BG66" i="2"/>
  <c r="BF66" i="2"/>
  <c r="BE66" i="2"/>
  <c r="BD66" i="2"/>
  <c r="BH49" i="2"/>
  <c r="BG49" i="2"/>
  <c r="BF49" i="2"/>
  <c r="BE49" i="2"/>
  <c r="BD49" i="2"/>
  <c r="BH38" i="2"/>
  <c r="BG38" i="2"/>
  <c r="BF38" i="2"/>
  <c r="BE38" i="2"/>
  <c r="BD38" i="2"/>
  <c r="H171" i="2"/>
  <c r="H155" i="2"/>
  <c r="G155" i="2"/>
  <c r="C155" i="2"/>
  <c r="H141" i="2"/>
  <c r="G141" i="2"/>
  <c r="C141" i="2"/>
  <c r="H133" i="2"/>
  <c r="G133" i="2"/>
  <c r="H122" i="2"/>
  <c r="G122" i="2"/>
  <c r="C122" i="2"/>
  <c r="C102" i="2"/>
  <c r="H88" i="2"/>
  <c r="G88" i="2"/>
  <c r="C88" i="2"/>
  <c r="C80" i="2"/>
  <c r="H66" i="2"/>
  <c r="G66" i="2"/>
  <c r="C66" i="2"/>
  <c r="E176" i="2"/>
  <c r="E177" i="2"/>
  <c r="E178" i="2"/>
  <c r="E179" i="2"/>
  <c r="E180" i="2"/>
  <c r="E181" i="2"/>
  <c r="E182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54" i="2"/>
  <c r="E155" i="2"/>
  <c r="E145" i="2"/>
  <c r="E146" i="2"/>
  <c r="E147" i="2"/>
  <c r="E148" i="2"/>
  <c r="E149" i="2"/>
  <c r="E144" i="2"/>
  <c r="E138" i="2"/>
  <c r="E139" i="2"/>
  <c r="E140" i="2"/>
  <c r="E137" i="2"/>
  <c r="E126" i="2"/>
  <c r="E127" i="2"/>
  <c r="E128" i="2"/>
  <c r="E129" i="2"/>
  <c r="E130" i="2"/>
  <c r="E131" i="2"/>
  <c r="E132" i="2"/>
  <c r="E125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08" i="2"/>
  <c r="E100" i="2"/>
  <c r="E85" i="2"/>
  <c r="E86" i="2"/>
  <c r="BQ86" i="2"/>
  <c r="E87" i="2"/>
  <c r="E75" i="2"/>
  <c r="E76" i="2"/>
  <c r="E77" i="2"/>
  <c r="E78" i="2"/>
  <c r="E79" i="2"/>
  <c r="E72" i="2"/>
  <c r="E54" i="2"/>
  <c r="E55" i="2"/>
  <c r="E56" i="2"/>
  <c r="E57" i="2"/>
  <c r="E58" i="2"/>
  <c r="E59" i="2"/>
  <c r="E60" i="2"/>
  <c r="E61" i="2"/>
  <c r="E62" i="2"/>
  <c r="E63" i="2"/>
  <c r="E64" i="2"/>
  <c r="E65" i="2"/>
  <c r="E53" i="2"/>
  <c r="AK175" i="17"/>
  <c r="BE175" i="2"/>
  <c r="AS175" i="21"/>
  <c r="AS186" i="21"/>
  <c r="AE175" i="17"/>
  <c r="AE186" i="17"/>
  <c r="AE188" i="17"/>
  <c r="AB175" i="17"/>
  <c r="AB186" i="17"/>
  <c r="BF175" i="2"/>
  <c r="BF186" i="2"/>
  <c r="C86" i="1"/>
  <c r="O86" i="1"/>
  <c r="BT86" i="2"/>
  <c r="AT186" i="21"/>
  <c r="AQ175" i="21"/>
  <c r="AQ186" i="21"/>
  <c r="AR175" i="21"/>
  <c r="AZ175" i="21"/>
  <c r="AA175" i="17"/>
  <c r="AA186" i="17"/>
  <c r="AH175" i="17"/>
  <c r="AD175" i="17"/>
  <c r="AD186" i="17"/>
  <c r="Z175" i="17"/>
  <c r="Z186" i="17"/>
  <c r="BM175" i="2"/>
  <c r="BG175" i="2"/>
  <c r="BG186" i="2"/>
  <c r="BL175" i="2"/>
  <c r="BI175" i="2"/>
  <c r="BD175" i="2"/>
  <c r="BD186" i="2"/>
  <c r="BH175" i="2"/>
  <c r="BH186" i="2"/>
  <c r="BJ175" i="2"/>
  <c r="BJ186" i="2"/>
  <c r="AU175" i="21"/>
  <c r="AU186" i="21"/>
  <c r="AU188" i="21"/>
  <c r="AW186" i="21"/>
  <c r="AW188" i="21"/>
  <c r="F175" i="21"/>
  <c r="AP175" i="21"/>
  <c r="AP186" i="21"/>
  <c r="E68" i="21"/>
  <c r="E175" i="21"/>
  <c r="E186" i="21"/>
  <c r="AH186" i="17"/>
  <c r="AR186" i="21"/>
  <c r="AC186" i="17"/>
  <c r="AU68" i="21"/>
  <c r="AV186" i="21"/>
  <c r="F186" i="21"/>
  <c r="L133" i="1"/>
  <c r="AC68" i="17"/>
  <c r="L122" i="1"/>
  <c r="AB68" i="17"/>
  <c r="AD68" i="17"/>
  <c r="AE68" i="17"/>
  <c r="AQ68" i="21"/>
  <c r="F68" i="21"/>
  <c r="AV68" i="21"/>
  <c r="AG186" i="17"/>
  <c r="AF68" i="17"/>
  <c r="AF186" i="17"/>
  <c r="AF188" i="17"/>
  <c r="AG68" i="17"/>
  <c r="BI68" i="2"/>
  <c r="Z68" i="17"/>
  <c r="AG90" i="17"/>
  <c r="AF90" i="17"/>
  <c r="BM68" i="2"/>
  <c r="BE186" i="2"/>
  <c r="BL68" i="2"/>
  <c r="AV90" i="21"/>
  <c r="F88" i="21"/>
  <c r="AA68" i="17"/>
  <c r="AH68" i="17"/>
  <c r="AS68" i="21"/>
  <c r="AW68" i="21"/>
  <c r="AT68" i="21"/>
  <c r="AP68" i="21"/>
  <c r="AR68" i="21"/>
  <c r="BK186" i="2"/>
  <c r="BL90" i="2"/>
  <c r="BK68" i="2"/>
  <c r="E133" i="2"/>
  <c r="E141" i="2"/>
  <c r="E150" i="2"/>
  <c r="BJ68" i="2"/>
  <c r="C90" i="2"/>
  <c r="C104" i="2"/>
  <c r="BK90" i="2"/>
  <c r="BD68" i="2"/>
  <c r="BH68" i="2"/>
  <c r="BF68" i="2"/>
  <c r="BJ90" i="2"/>
  <c r="G68" i="2"/>
  <c r="G184" i="2"/>
  <c r="E66" i="2"/>
  <c r="E122" i="2"/>
  <c r="H68" i="2"/>
  <c r="H184" i="2"/>
  <c r="BE68" i="2"/>
  <c r="BG68" i="2"/>
  <c r="Q99" i="26"/>
  <c r="Q94" i="26"/>
  <c r="Q93" i="26"/>
  <c r="BI186" i="2"/>
  <c r="BI188" i="2"/>
  <c r="BM186" i="2"/>
  <c r="BM188" i="2"/>
  <c r="G186" i="2"/>
  <c r="H186" i="2"/>
  <c r="AG102" i="17"/>
  <c r="AG104" i="17"/>
  <c r="AV102" i="21"/>
  <c r="AV104" i="21"/>
  <c r="AF102" i="17"/>
  <c r="AF104" i="17"/>
  <c r="AF190" i="17"/>
  <c r="E68" i="2"/>
  <c r="E184" i="2"/>
  <c r="E186" i="2"/>
  <c r="BL186" i="2"/>
  <c r="BJ102" i="2"/>
  <c r="BJ104" i="2"/>
  <c r="P99" i="3"/>
  <c r="P94" i="3"/>
  <c r="P93" i="3"/>
  <c r="P88" i="3"/>
  <c r="P66" i="3"/>
  <c r="P49" i="3"/>
  <c r="P38" i="3"/>
  <c r="I134" i="7"/>
  <c r="E175" i="7"/>
  <c r="L175" i="26"/>
  <c r="F99" i="7"/>
  <c r="E99" i="7"/>
  <c r="L99" i="26"/>
  <c r="F94" i="7"/>
  <c r="E94" i="7"/>
  <c r="L94" i="26"/>
  <c r="F93" i="7"/>
  <c r="AZ99" i="21"/>
  <c r="AK99" i="17"/>
  <c r="BO99" i="2"/>
  <c r="AZ94" i="21"/>
  <c r="AK94" i="17"/>
  <c r="BO94" i="2"/>
  <c r="AZ93" i="21"/>
  <c r="AK93" i="17"/>
  <c r="BO93" i="2"/>
  <c r="E99" i="26"/>
  <c r="AU99" i="21"/>
  <c r="AE99" i="17"/>
  <c r="BI99" i="2"/>
  <c r="E93" i="26"/>
  <c r="AE93" i="17"/>
  <c r="AU93" i="21"/>
  <c r="BI93" i="2"/>
  <c r="E94" i="26"/>
  <c r="AE94" i="17"/>
  <c r="BI94" i="2"/>
  <c r="AU94" i="21"/>
  <c r="E150" i="7"/>
  <c r="L146" i="26"/>
  <c r="L150" i="26"/>
  <c r="T31" i="26"/>
  <c r="L31" i="1"/>
  <c r="BM93" i="2"/>
  <c r="M93" i="26"/>
  <c r="BM99" i="2"/>
  <c r="M99" i="26"/>
  <c r="BM94" i="2"/>
  <c r="M94" i="26"/>
  <c r="T175" i="26"/>
  <c r="L186" i="26"/>
  <c r="I175" i="7"/>
  <c r="E186" i="7"/>
  <c r="E189" i="7"/>
  <c r="D38" i="7"/>
  <c r="D68" i="7"/>
  <c r="I31" i="7"/>
  <c r="I38" i="7"/>
  <c r="I68" i="7"/>
  <c r="P68" i="3"/>
  <c r="AF192" i="17"/>
  <c r="P188" i="3"/>
  <c r="G99" i="7"/>
  <c r="N99" i="26"/>
  <c r="G94" i="7"/>
  <c r="N94" i="26"/>
  <c r="G93" i="7"/>
  <c r="N93" i="26"/>
  <c r="L188" i="26"/>
  <c r="L175" i="1"/>
  <c r="I93" i="7"/>
  <c r="I186" i="7"/>
  <c r="F109" i="5"/>
  <c r="E184" i="17"/>
  <c r="D184" i="17"/>
  <c r="D184" i="21"/>
  <c r="H184" i="8"/>
  <c r="H184" i="11"/>
  <c r="G161" i="21"/>
  <c r="G171" i="21"/>
  <c r="F149" i="2"/>
  <c r="D149" i="2"/>
  <c r="E149" i="17"/>
  <c r="D149" i="17"/>
  <c r="D149" i="21"/>
  <c r="H149" i="8"/>
  <c r="H149" i="11"/>
  <c r="F162" i="2"/>
  <c r="D162" i="2"/>
  <c r="F161" i="2"/>
  <c r="D161" i="2"/>
  <c r="F160" i="2"/>
  <c r="D160" i="2"/>
  <c r="E162" i="17"/>
  <c r="D162" i="17"/>
  <c r="E161" i="17"/>
  <c r="D161" i="17"/>
  <c r="E160" i="17"/>
  <c r="D160" i="17"/>
  <c r="D162" i="21"/>
  <c r="D161" i="21"/>
  <c r="D160" i="21"/>
  <c r="H162" i="8"/>
  <c r="H161" i="8"/>
  <c r="H160" i="8"/>
  <c r="H162" i="11"/>
  <c r="H161" i="11"/>
  <c r="H160" i="11"/>
  <c r="F139" i="2"/>
  <c r="D139" i="2"/>
  <c r="E139" i="17"/>
  <c r="D139" i="17"/>
  <c r="D139" i="21"/>
  <c r="C139" i="8"/>
  <c r="C139" i="11"/>
  <c r="O139" i="26"/>
  <c r="O141" i="26"/>
  <c r="F163" i="2"/>
  <c r="D163" i="2"/>
  <c r="E163" i="17"/>
  <c r="D163" i="17"/>
  <c r="D163" i="21"/>
  <c r="F120" i="2"/>
  <c r="D120" i="2"/>
  <c r="E120" i="17"/>
  <c r="D120" i="17"/>
  <c r="D120" i="21"/>
  <c r="BB120" i="21"/>
  <c r="I120" i="1"/>
  <c r="H120" i="8"/>
  <c r="H120" i="11"/>
  <c r="D146" i="8"/>
  <c r="F131" i="2"/>
  <c r="D131" i="2"/>
  <c r="E131" i="17"/>
  <c r="D131" i="17"/>
  <c r="D131" i="21"/>
  <c r="H131" i="11"/>
  <c r="C130" i="17"/>
  <c r="J139" i="26"/>
  <c r="C141" i="8"/>
  <c r="BL146" i="2"/>
  <c r="BL150" i="2"/>
  <c r="BL188" i="2"/>
  <c r="D150" i="8"/>
  <c r="C141" i="11"/>
  <c r="AW80" i="21"/>
  <c r="AW90" i="21"/>
  <c r="AH80" i="17"/>
  <c r="AH90" i="17"/>
  <c r="F120" i="5"/>
  <c r="F122" i="5"/>
  <c r="BQ120" i="2"/>
  <c r="C120" i="1"/>
  <c r="AM120" i="17"/>
  <c r="F120" i="1"/>
  <c r="F164" i="5"/>
  <c r="F171" i="5"/>
  <c r="C171" i="5"/>
  <c r="BK171" i="2"/>
  <c r="C122" i="5"/>
  <c r="BQ131" i="2"/>
  <c r="C131" i="1"/>
  <c r="BQ163" i="2"/>
  <c r="C163" i="1"/>
  <c r="BQ139" i="2"/>
  <c r="C139" i="1"/>
  <c r="BQ160" i="2"/>
  <c r="C160" i="1"/>
  <c r="BQ149" i="2"/>
  <c r="C149" i="1"/>
  <c r="AY66" i="21"/>
  <c r="AY38" i="21"/>
  <c r="BN66" i="2"/>
  <c r="BN38" i="2"/>
  <c r="BQ162" i="2"/>
  <c r="C162" i="1"/>
  <c r="BQ161" i="2"/>
  <c r="C161" i="1"/>
  <c r="BB160" i="21"/>
  <c r="BB161" i="21"/>
  <c r="I161" i="1"/>
  <c r="BB149" i="21"/>
  <c r="I149" i="1"/>
  <c r="BB131" i="21"/>
  <c r="BB163" i="21"/>
  <c r="I163" i="1"/>
  <c r="BB139" i="21"/>
  <c r="I139" i="1"/>
  <c r="BB162" i="21"/>
  <c r="I162" i="1"/>
  <c r="AM162" i="17"/>
  <c r="F162" i="1"/>
  <c r="AM163" i="17"/>
  <c r="F163" i="1"/>
  <c r="AM139" i="17"/>
  <c r="F139" i="1"/>
  <c r="AM160" i="17"/>
  <c r="F160" i="1"/>
  <c r="C133" i="17"/>
  <c r="AM161" i="17"/>
  <c r="F161" i="1"/>
  <c r="AM131" i="17"/>
  <c r="F131" i="1"/>
  <c r="AM149" i="17"/>
  <c r="F149" i="1"/>
  <c r="H163" i="11"/>
  <c r="H163" i="8"/>
  <c r="H139" i="11"/>
  <c r="H139" i="8"/>
  <c r="H131" i="8"/>
  <c r="C158" i="17"/>
  <c r="AI122" i="21"/>
  <c r="AH122" i="21"/>
  <c r="AF115" i="21"/>
  <c r="W88" i="21"/>
  <c r="Z88" i="21"/>
  <c r="AB88" i="21"/>
  <c r="AD88" i="21"/>
  <c r="AF88" i="21"/>
  <c r="AE88" i="21"/>
  <c r="M158" i="3"/>
  <c r="J146" i="3"/>
  <c r="G146" i="3"/>
  <c r="M93" i="3"/>
  <c r="J93" i="3"/>
  <c r="G93" i="3"/>
  <c r="C93" i="3"/>
  <c r="D146" i="3"/>
  <c r="D99" i="3"/>
  <c r="D94" i="3"/>
  <c r="D93" i="3"/>
  <c r="D88" i="3"/>
  <c r="D66" i="3"/>
  <c r="D49" i="3"/>
  <c r="D38" i="3"/>
  <c r="T139" i="26"/>
  <c r="J141" i="26"/>
  <c r="AQ146" i="21"/>
  <c r="BE146" i="2"/>
  <c r="BE150" i="2"/>
  <c r="BE188" i="2"/>
  <c r="BH93" i="2"/>
  <c r="BH158" i="2"/>
  <c r="AT171" i="21"/>
  <c r="AT188" i="21"/>
  <c r="AS146" i="21"/>
  <c r="AS150" i="21"/>
  <c r="AS188" i="21"/>
  <c r="BG146" i="2"/>
  <c r="D158" i="26"/>
  <c r="AP158" i="21"/>
  <c r="AP171" i="21"/>
  <c r="AP188" i="21"/>
  <c r="BD158" i="2"/>
  <c r="BD171" i="2"/>
  <c r="BD188" i="2"/>
  <c r="Z158" i="17"/>
  <c r="Z171" i="17"/>
  <c r="Z188" i="17"/>
  <c r="D93" i="26"/>
  <c r="AP93" i="21"/>
  <c r="BD93" i="2"/>
  <c r="Z93" i="17"/>
  <c r="BF146" i="2"/>
  <c r="AR146" i="21"/>
  <c r="AR150" i="21"/>
  <c r="AR188" i="21"/>
  <c r="I160" i="1"/>
  <c r="O160" i="1"/>
  <c r="BE160" i="21"/>
  <c r="BE171" i="21"/>
  <c r="I131" i="1"/>
  <c r="O131" i="1"/>
  <c r="BE131" i="21"/>
  <c r="O161" i="1"/>
  <c r="O149" i="1"/>
  <c r="O163" i="1"/>
  <c r="O120" i="1"/>
  <c r="O162" i="1"/>
  <c r="BG93" i="2"/>
  <c r="AS93" i="21"/>
  <c r="AR93" i="21"/>
  <c r="BF93" i="2"/>
  <c r="BE94" i="2"/>
  <c r="AQ94" i="21"/>
  <c r="BE99" i="2"/>
  <c r="AQ99" i="21"/>
  <c r="AQ93" i="21"/>
  <c r="BE93" i="2"/>
  <c r="BN186" i="2"/>
  <c r="C188" i="5"/>
  <c r="D68" i="3"/>
  <c r="G150" i="3"/>
  <c r="BF150" i="2"/>
  <c r="BF188" i="2"/>
  <c r="AB150" i="17"/>
  <c r="AB188" i="17"/>
  <c r="C171" i="3"/>
  <c r="AQ150" i="21"/>
  <c r="AQ188" i="21"/>
  <c r="D150" i="3"/>
  <c r="AA150" i="17"/>
  <c r="AA188" i="17"/>
  <c r="M171" i="3"/>
  <c r="BH171" i="2"/>
  <c r="BH188" i="2"/>
  <c r="AD171" i="17"/>
  <c r="AD188" i="17"/>
  <c r="J150" i="3"/>
  <c r="BG150" i="2"/>
  <c r="BG188" i="2"/>
  <c r="AC150" i="17"/>
  <c r="AC188" i="17"/>
  <c r="AW102" i="21"/>
  <c r="AW104" i="21"/>
  <c r="AW190" i="21"/>
  <c r="AW192" i="21"/>
  <c r="BK122" i="2"/>
  <c r="BK188" i="2"/>
  <c r="F188" i="5"/>
  <c r="AG122" i="17"/>
  <c r="AG188" i="17"/>
  <c r="AG192" i="17"/>
  <c r="AY186" i="21"/>
  <c r="AY68" i="21"/>
  <c r="AY171" i="21"/>
  <c r="BN68" i="2"/>
  <c r="BN171" i="2"/>
  <c r="C171" i="21"/>
  <c r="AF122" i="21"/>
  <c r="E115" i="21"/>
  <c r="E122" i="21"/>
  <c r="C171" i="17"/>
  <c r="E146" i="11"/>
  <c r="E99" i="11"/>
  <c r="AJ99" i="17"/>
  <c r="E94" i="11"/>
  <c r="AJ94" i="17"/>
  <c r="E93" i="11"/>
  <c r="AJ93" i="17"/>
  <c r="E49" i="11"/>
  <c r="H13" i="8"/>
  <c r="E146" i="8"/>
  <c r="E126" i="8"/>
  <c r="E99" i="8"/>
  <c r="AH99" i="17"/>
  <c r="E94" i="8"/>
  <c r="AH94" i="17"/>
  <c r="E93" i="8"/>
  <c r="AH93" i="17"/>
  <c r="E88" i="8"/>
  <c r="E66" i="8"/>
  <c r="E49" i="8"/>
  <c r="E38" i="8"/>
  <c r="E7" i="17"/>
  <c r="D7" i="17"/>
  <c r="U80" i="17"/>
  <c r="U90" i="17"/>
  <c r="U99" i="17"/>
  <c r="U94" i="17"/>
  <c r="U93" i="17"/>
  <c r="W99" i="17"/>
  <c r="W94" i="17"/>
  <c r="W93" i="17"/>
  <c r="W88" i="17"/>
  <c r="V99" i="17"/>
  <c r="V94" i="17"/>
  <c r="V93" i="17"/>
  <c r="V88" i="17"/>
  <c r="S99" i="17"/>
  <c r="S94" i="17"/>
  <c r="S93" i="17"/>
  <c r="S88" i="17"/>
  <c r="D7" i="2"/>
  <c r="E7" i="21"/>
  <c r="D7" i="21"/>
  <c r="AG93" i="21"/>
  <c r="AH93" i="21"/>
  <c r="AI93" i="21"/>
  <c r="AH126" i="17"/>
  <c r="AH133" i="17"/>
  <c r="AH146" i="17"/>
  <c r="AH150" i="17"/>
  <c r="AH188" i="17"/>
  <c r="E133" i="8"/>
  <c r="E150" i="8"/>
  <c r="L139" i="1"/>
  <c r="O139" i="1"/>
  <c r="T141" i="26"/>
  <c r="D171" i="26"/>
  <c r="D188" i="26"/>
  <c r="T158" i="26"/>
  <c r="AJ146" i="17"/>
  <c r="AJ150" i="17"/>
  <c r="E150" i="11"/>
  <c r="AG190" i="17"/>
  <c r="AY188" i="21"/>
  <c r="BB7" i="21"/>
  <c r="AM7" i="17"/>
  <c r="AJ155" i="17"/>
  <c r="D188" i="3"/>
  <c r="E68" i="8"/>
  <c r="E80" i="8"/>
  <c r="E90" i="8"/>
  <c r="U101" i="17"/>
  <c r="U97" i="17"/>
  <c r="U98" i="17"/>
  <c r="U95" i="17"/>
  <c r="U96" i="17"/>
  <c r="AI99" i="21"/>
  <c r="AH99" i="21"/>
  <c r="AG99" i="21"/>
  <c r="AF99" i="21"/>
  <c r="AE99" i="21"/>
  <c r="AD99" i="21"/>
  <c r="AC99" i="21"/>
  <c r="AB99" i="21"/>
  <c r="AA99" i="21"/>
  <c r="Z99" i="21"/>
  <c r="Y99" i="21"/>
  <c r="X99" i="21"/>
  <c r="W99" i="21"/>
  <c r="V99" i="21"/>
  <c r="S99" i="21"/>
  <c r="R99" i="21"/>
  <c r="Q99" i="21"/>
  <c r="O99" i="21"/>
  <c r="M99" i="21"/>
  <c r="L99" i="21"/>
  <c r="K99" i="21"/>
  <c r="J99" i="21"/>
  <c r="H99" i="21"/>
  <c r="G99" i="21"/>
  <c r="M99" i="3"/>
  <c r="J99" i="3"/>
  <c r="G99" i="3"/>
  <c r="C99" i="3"/>
  <c r="G99" i="4"/>
  <c r="C99" i="5"/>
  <c r="D99" i="7"/>
  <c r="K99" i="26"/>
  <c r="D99" i="8"/>
  <c r="BL99" i="2"/>
  <c r="C99" i="8"/>
  <c r="J99" i="26"/>
  <c r="D99" i="11"/>
  <c r="BN99" i="2"/>
  <c r="C99" i="11"/>
  <c r="O99" i="26"/>
  <c r="BB99" i="2"/>
  <c r="BA99" i="2"/>
  <c r="AZ99" i="2"/>
  <c r="AY99" i="2"/>
  <c r="AX99" i="2"/>
  <c r="AW99" i="2"/>
  <c r="AV99" i="2"/>
  <c r="AU99" i="2"/>
  <c r="AS99" i="2"/>
  <c r="AR99" i="2"/>
  <c r="AQ99" i="2"/>
  <c r="AP99" i="2"/>
  <c r="AO99" i="2"/>
  <c r="AN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M99" i="2"/>
  <c r="L99" i="2"/>
  <c r="K99" i="2"/>
  <c r="J99" i="2"/>
  <c r="H99" i="2"/>
  <c r="G99" i="2"/>
  <c r="X99" i="17"/>
  <c r="T99" i="17"/>
  <c r="R99" i="17"/>
  <c r="P99" i="17"/>
  <c r="O99" i="17"/>
  <c r="N99" i="17"/>
  <c r="M99" i="17"/>
  <c r="L99" i="17"/>
  <c r="J99" i="17"/>
  <c r="I99" i="17"/>
  <c r="G99" i="17"/>
  <c r="F99" i="17"/>
  <c r="X93" i="17"/>
  <c r="T93" i="17"/>
  <c r="R93" i="17"/>
  <c r="P93" i="17"/>
  <c r="O93" i="17"/>
  <c r="N93" i="17"/>
  <c r="M93" i="17"/>
  <c r="L93" i="17"/>
  <c r="J93" i="17"/>
  <c r="I93" i="17"/>
  <c r="G93" i="17"/>
  <c r="F93" i="17"/>
  <c r="AF93" i="21"/>
  <c r="O93" i="21"/>
  <c r="Q93" i="21"/>
  <c r="R93" i="21"/>
  <c r="S93" i="21"/>
  <c r="V93" i="21"/>
  <c r="W93" i="21"/>
  <c r="X93" i="21"/>
  <c r="Y93" i="21"/>
  <c r="Z93" i="21"/>
  <c r="AA93" i="21"/>
  <c r="AB93" i="21"/>
  <c r="AC93" i="21"/>
  <c r="AD93" i="21"/>
  <c r="AE93" i="21"/>
  <c r="E93" i="21"/>
  <c r="H93" i="21"/>
  <c r="D93" i="8"/>
  <c r="BL93" i="2"/>
  <c r="C93" i="8"/>
  <c r="J93" i="26"/>
  <c r="D93" i="11"/>
  <c r="BN93" i="2"/>
  <c r="C93" i="11"/>
  <c r="O93" i="26"/>
  <c r="BB93" i="2"/>
  <c r="BA93" i="2"/>
  <c r="AZ93" i="2"/>
  <c r="AY93" i="2"/>
  <c r="AX93" i="2"/>
  <c r="AW93" i="2"/>
  <c r="AV93" i="2"/>
  <c r="AU93" i="2"/>
  <c r="AS93" i="2"/>
  <c r="AR93" i="2"/>
  <c r="AQ93" i="2"/>
  <c r="AP93" i="2"/>
  <c r="AO93" i="2"/>
  <c r="AN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M93" i="2"/>
  <c r="L93" i="2"/>
  <c r="K93" i="2"/>
  <c r="J93" i="2"/>
  <c r="H93" i="2"/>
  <c r="G93" i="2"/>
  <c r="D87" i="21"/>
  <c r="F99" i="5"/>
  <c r="BK99" i="2"/>
  <c r="BH99" i="2"/>
  <c r="L158" i="1"/>
  <c r="T171" i="26"/>
  <c r="D99" i="26"/>
  <c r="AP99" i="21"/>
  <c r="Z99" i="17"/>
  <c r="BD99" i="2"/>
  <c r="R99" i="26"/>
  <c r="R93" i="26"/>
  <c r="T93" i="26"/>
  <c r="L93" i="1"/>
  <c r="T99" i="26"/>
  <c r="L99" i="1"/>
  <c r="BG99" i="2"/>
  <c r="AS99" i="21"/>
  <c r="BF99" i="2"/>
  <c r="AR99" i="21"/>
  <c r="I99" i="7"/>
  <c r="AJ66" i="17"/>
  <c r="AJ38" i="17"/>
  <c r="AJ171" i="17"/>
  <c r="U102" i="17"/>
  <c r="U104" i="17"/>
  <c r="BB87" i="21"/>
  <c r="I87" i="1"/>
  <c r="E99" i="21"/>
  <c r="C66" i="21"/>
  <c r="E99" i="2"/>
  <c r="E93" i="2"/>
  <c r="E188" i="8"/>
  <c r="E188" i="11"/>
  <c r="E95" i="8"/>
  <c r="AH95" i="17"/>
  <c r="E98" i="8"/>
  <c r="AH98" i="17"/>
  <c r="E101" i="8"/>
  <c r="AH101" i="17"/>
  <c r="E96" i="8"/>
  <c r="AH96" i="17"/>
  <c r="E97" i="8"/>
  <c r="AH97" i="17"/>
  <c r="D185" i="21"/>
  <c r="D183" i="21"/>
  <c r="D116" i="21"/>
  <c r="D182" i="21"/>
  <c r="D181" i="21"/>
  <c r="D180" i="21"/>
  <c r="D179" i="21"/>
  <c r="D178" i="21"/>
  <c r="D177" i="21"/>
  <c r="D176" i="21"/>
  <c r="D119" i="21"/>
  <c r="D118" i="21"/>
  <c r="D100" i="21"/>
  <c r="D115" i="21"/>
  <c r="D170" i="21"/>
  <c r="D169" i="21"/>
  <c r="D168" i="21"/>
  <c r="D167" i="21"/>
  <c r="D166" i="21"/>
  <c r="D165" i="21"/>
  <c r="D164" i="21"/>
  <c r="D159" i="21"/>
  <c r="BB159" i="21"/>
  <c r="I159" i="1"/>
  <c r="V171" i="21"/>
  <c r="S171" i="21"/>
  <c r="R171" i="21"/>
  <c r="Q171" i="21"/>
  <c r="M171" i="21"/>
  <c r="L171" i="21"/>
  <c r="K171" i="21"/>
  <c r="J171" i="21"/>
  <c r="D154" i="21"/>
  <c r="D148" i="21"/>
  <c r="C148" i="21"/>
  <c r="D147" i="21"/>
  <c r="H146" i="21"/>
  <c r="H150" i="21"/>
  <c r="G150" i="21"/>
  <c r="D146" i="21"/>
  <c r="D145" i="21"/>
  <c r="D144" i="21"/>
  <c r="D140" i="21"/>
  <c r="BB140" i="21"/>
  <c r="I140" i="1"/>
  <c r="D138" i="21"/>
  <c r="D137" i="21"/>
  <c r="D132" i="21"/>
  <c r="C132" i="21"/>
  <c r="D130" i="21"/>
  <c r="D129" i="21"/>
  <c r="D128" i="21"/>
  <c r="D127" i="21"/>
  <c r="D126" i="21"/>
  <c r="D125" i="21"/>
  <c r="D117" i="21"/>
  <c r="D121" i="21"/>
  <c r="D114" i="21"/>
  <c r="D113" i="21"/>
  <c r="D112" i="21"/>
  <c r="D111" i="21"/>
  <c r="D110" i="21"/>
  <c r="D109" i="21"/>
  <c r="D108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S94" i="21"/>
  <c r="R94" i="21"/>
  <c r="Q94" i="21"/>
  <c r="O94" i="21"/>
  <c r="M94" i="21"/>
  <c r="L94" i="21"/>
  <c r="K94" i="21"/>
  <c r="J94" i="21"/>
  <c r="H94" i="21"/>
  <c r="G94" i="21"/>
  <c r="D85" i="21"/>
  <c r="AG88" i="21"/>
  <c r="AC88" i="21"/>
  <c r="AA88" i="21"/>
  <c r="Y88" i="21"/>
  <c r="X88" i="21"/>
  <c r="V88" i="21"/>
  <c r="S88" i="21"/>
  <c r="R88" i="21"/>
  <c r="Q88" i="21"/>
  <c r="M88" i="21"/>
  <c r="L88" i="21"/>
  <c r="K88" i="21"/>
  <c r="J88" i="21"/>
  <c r="D79" i="21"/>
  <c r="D78" i="21"/>
  <c r="D77" i="21"/>
  <c r="D76" i="21"/>
  <c r="D75" i="21"/>
  <c r="D72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48" i="21"/>
  <c r="D47" i="21"/>
  <c r="D46" i="21"/>
  <c r="D45" i="21"/>
  <c r="D44" i="21"/>
  <c r="D43" i="21"/>
  <c r="D42" i="21"/>
  <c r="D41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99" i="21"/>
  <c r="U190" i="17"/>
  <c r="U192" i="17"/>
  <c r="E102" i="8"/>
  <c r="E104" i="8"/>
  <c r="E191" i="8"/>
  <c r="AJ68" i="17"/>
  <c r="D66" i="21"/>
  <c r="BB33" i="21"/>
  <c r="I33" i="1"/>
  <c r="D38" i="21"/>
  <c r="BB13" i="21"/>
  <c r="I13" i="1"/>
  <c r="BB22" i="21"/>
  <c r="I22" i="1"/>
  <c r="BB26" i="21"/>
  <c r="I26" i="1"/>
  <c r="BB30" i="21"/>
  <c r="I30" i="1"/>
  <c r="BB35" i="21"/>
  <c r="I35" i="1"/>
  <c r="BB59" i="21"/>
  <c r="I59" i="1"/>
  <c r="BB63" i="21"/>
  <c r="I63" i="1"/>
  <c r="BB112" i="21"/>
  <c r="I112" i="1"/>
  <c r="BB117" i="21"/>
  <c r="I117" i="1"/>
  <c r="BB128" i="21"/>
  <c r="BB166" i="21"/>
  <c r="I166" i="1"/>
  <c r="BB14" i="21"/>
  <c r="I14" i="1"/>
  <c r="BB17" i="21"/>
  <c r="I17" i="1"/>
  <c r="BB21" i="21"/>
  <c r="BB25" i="21"/>
  <c r="I25" i="1"/>
  <c r="BB29" i="21"/>
  <c r="I29" i="1"/>
  <c r="BB34" i="21"/>
  <c r="I34" i="1"/>
  <c r="BB54" i="21"/>
  <c r="I54" i="1"/>
  <c r="BB62" i="21"/>
  <c r="I62" i="1"/>
  <c r="BB85" i="21"/>
  <c r="I85" i="1"/>
  <c r="BB111" i="21"/>
  <c r="I111" i="1"/>
  <c r="BB127" i="21"/>
  <c r="I127" i="1"/>
  <c r="C133" i="21"/>
  <c r="BB132" i="21"/>
  <c r="I132" i="1"/>
  <c r="BB169" i="21"/>
  <c r="I169" i="1"/>
  <c r="BB118" i="21"/>
  <c r="I118" i="1"/>
  <c r="BB178" i="21"/>
  <c r="I178" i="1"/>
  <c r="BB182" i="21"/>
  <c r="I182" i="1"/>
  <c r="C49" i="21"/>
  <c r="BB41" i="21"/>
  <c r="I41" i="1"/>
  <c r="BB19" i="21"/>
  <c r="I19" i="1"/>
  <c r="BB23" i="21"/>
  <c r="I23" i="1"/>
  <c r="BB27" i="21"/>
  <c r="I27" i="1"/>
  <c r="BB31" i="21"/>
  <c r="I31" i="1"/>
  <c r="BB36" i="21"/>
  <c r="I36" i="1"/>
  <c r="BB42" i="21"/>
  <c r="I42" i="1"/>
  <c r="BB46" i="21"/>
  <c r="I46" i="1"/>
  <c r="BB56" i="21"/>
  <c r="I56" i="1"/>
  <c r="BB60" i="21"/>
  <c r="I60" i="1"/>
  <c r="BB64" i="21"/>
  <c r="I64" i="1"/>
  <c r="BB79" i="21"/>
  <c r="E94" i="21"/>
  <c r="BB109" i="21"/>
  <c r="I109" i="1"/>
  <c r="BB113" i="21"/>
  <c r="I113" i="1"/>
  <c r="BB129" i="21"/>
  <c r="D141" i="21"/>
  <c r="BB137" i="21"/>
  <c r="I137" i="1"/>
  <c r="BB145" i="21"/>
  <c r="I145" i="1"/>
  <c r="BB147" i="21"/>
  <c r="E158" i="21"/>
  <c r="E171" i="21"/>
  <c r="O171" i="21"/>
  <c r="O188" i="21"/>
  <c r="BB167" i="21"/>
  <c r="I167" i="1"/>
  <c r="BB115" i="21"/>
  <c r="I115" i="1"/>
  <c r="BB176" i="21"/>
  <c r="I176" i="1"/>
  <c r="BB180" i="21"/>
  <c r="I180" i="1"/>
  <c r="BB183" i="21"/>
  <c r="I183" i="1"/>
  <c r="BB53" i="21"/>
  <c r="I53" i="1"/>
  <c r="BB15" i="21"/>
  <c r="I15" i="1"/>
  <c r="BB18" i="21"/>
  <c r="I18" i="1"/>
  <c r="BB45" i="21"/>
  <c r="I45" i="1"/>
  <c r="BB138" i="21"/>
  <c r="I138" i="1"/>
  <c r="BB170" i="21"/>
  <c r="I170" i="1"/>
  <c r="BB119" i="21"/>
  <c r="I119" i="1"/>
  <c r="BB179" i="21"/>
  <c r="BB116" i="21"/>
  <c r="I116" i="1"/>
  <c r="BB55" i="21"/>
  <c r="I55" i="1"/>
  <c r="D49" i="21"/>
  <c r="BB44" i="21"/>
  <c r="I44" i="1"/>
  <c r="BB48" i="21"/>
  <c r="I48" i="1"/>
  <c r="D133" i="21"/>
  <c r="BB125" i="21"/>
  <c r="I125" i="1"/>
  <c r="BB165" i="21"/>
  <c r="I165" i="1"/>
  <c r="BB16" i="21"/>
  <c r="I16" i="1"/>
  <c r="BB20" i="21"/>
  <c r="I20" i="1"/>
  <c r="BB24" i="21"/>
  <c r="I24" i="1"/>
  <c r="BB28" i="21"/>
  <c r="I28" i="1"/>
  <c r="BB32" i="21"/>
  <c r="I32" i="1"/>
  <c r="BB37" i="21"/>
  <c r="I37" i="1"/>
  <c r="BB43" i="21"/>
  <c r="I43" i="1"/>
  <c r="BB47" i="21"/>
  <c r="I47" i="1"/>
  <c r="BB57" i="21"/>
  <c r="I57" i="1"/>
  <c r="BB61" i="21"/>
  <c r="I61" i="1"/>
  <c r="BB65" i="21"/>
  <c r="I65" i="1"/>
  <c r="O88" i="21"/>
  <c r="E84" i="21"/>
  <c r="E88" i="21"/>
  <c r="D122" i="21"/>
  <c r="BB108" i="21"/>
  <c r="I108" i="1"/>
  <c r="BB110" i="21"/>
  <c r="I110" i="1"/>
  <c r="BB114" i="21"/>
  <c r="I114" i="1"/>
  <c r="BB126" i="21"/>
  <c r="I126" i="1"/>
  <c r="BB130" i="21"/>
  <c r="D150" i="21"/>
  <c r="BB144" i="21"/>
  <c r="BB146" i="21"/>
  <c r="C150" i="21"/>
  <c r="BB148" i="21"/>
  <c r="I148" i="1"/>
  <c r="D155" i="21"/>
  <c r="BB154" i="21"/>
  <c r="BB164" i="21"/>
  <c r="I164" i="1"/>
  <c r="BB168" i="21"/>
  <c r="I168" i="1"/>
  <c r="BB100" i="21"/>
  <c r="I100" i="1"/>
  <c r="BB177" i="21"/>
  <c r="I177" i="1"/>
  <c r="BB181" i="21"/>
  <c r="I181" i="1"/>
  <c r="C38" i="21"/>
  <c r="S188" i="21"/>
  <c r="X188" i="21"/>
  <c r="AD188" i="21"/>
  <c r="AH188" i="21"/>
  <c r="Q188" i="21"/>
  <c r="H188" i="21"/>
  <c r="M188" i="21"/>
  <c r="W188" i="21"/>
  <c r="AA188" i="21"/>
  <c r="AG188" i="21"/>
  <c r="K188" i="21"/>
  <c r="AE188" i="21"/>
  <c r="Z188" i="21"/>
  <c r="AF188" i="21"/>
  <c r="D94" i="21"/>
  <c r="D84" i="21"/>
  <c r="D158" i="21"/>
  <c r="H85" i="8"/>
  <c r="D146" i="7"/>
  <c r="K146" i="26"/>
  <c r="C146" i="8"/>
  <c r="H185" i="8"/>
  <c r="H183" i="8"/>
  <c r="H116" i="8"/>
  <c r="H182" i="8"/>
  <c r="H181" i="8"/>
  <c r="H180" i="8"/>
  <c r="H179" i="8"/>
  <c r="H178" i="8"/>
  <c r="H177" i="8"/>
  <c r="H176" i="8"/>
  <c r="H119" i="8"/>
  <c r="H118" i="8"/>
  <c r="H175" i="8"/>
  <c r="H100" i="8"/>
  <c r="H115" i="8"/>
  <c r="H170" i="8"/>
  <c r="H169" i="8"/>
  <c r="H168" i="8"/>
  <c r="H167" i="8"/>
  <c r="H166" i="8"/>
  <c r="H165" i="8"/>
  <c r="H164" i="8"/>
  <c r="H158" i="8"/>
  <c r="H154" i="8"/>
  <c r="H155" i="8"/>
  <c r="H148" i="8"/>
  <c r="H147" i="8"/>
  <c r="H145" i="8"/>
  <c r="H144" i="8"/>
  <c r="H140" i="8"/>
  <c r="H138" i="8"/>
  <c r="H137" i="8"/>
  <c r="H129" i="8"/>
  <c r="H128" i="8"/>
  <c r="H127" i="8"/>
  <c r="H121" i="8"/>
  <c r="H113" i="8"/>
  <c r="H112" i="8"/>
  <c r="H111" i="8"/>
  <c r="H110" i="8"/>
  <c r="H109" i="8"/>
  <c r="H108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41" i="8"/>
  <c r="H42" i="8"/>
  <c r="H43" i="8"/>
  <c r="H44" i="8"/>
  <c r="H45" i="8"/>
  <c r="H46" i="8"/>
  <c r="H47" i="8"/>
  <c r="H48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73" i="8"/>
  <c r="H74" i="8"/>
  <c r="H75" i="8"/>
  <c r="H76" i="8"/>
  <c r="H77" i="8"/>
  <c r="H84" i="8"/>
  <c r="H86" i="8"/>
  <c r="H87" i="8"/>
  <c r="C94" i="8"/>
  <c r="J94" i="26"/>
  <c r="C88" i="8"/>
  <c r="C66" i="8"/>
  <c r="C49" i="8"/>
  <c r="C38" i="8"/>
  <c r="H132" i="8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14" i="11"/>
  <c r="H13" i="11"/>
  <c r="H48" i="11"/>
  <c r="H47" i="11"/>
  <c r="H46" i="11"/>
  <c r="H45" i="11"/>
  <c r="H44" i="11"/>
  <c r="H43" i="11"/>
  <c r="H42" i="11"/>
  <c r="H41" i="11"/>
  <c r="H65" i="11"/>
  <c r="H64" i="11"/>
  <c r="H63" i="11"/>
  <c r="H62" i="11"/>
  <c r="H61" i="11"/>
  <c r="H60" i="11"/>
  <c r="H59" i="11"/>
  <c r="H58" i="11"/>
  <c r="H56" i="11"/>
  <c r="H55" i="11"/>
  <c r="H54" i="11"/>
  <c r="H53" i="11"/>
  <c r="H79" i="11"/>
  <c r="H77" i="11"/>
  <c r="H76" i="11"/>
  <c r="H75" i="11"/>
  <c r="H74" i="11"/>
  <c r="H73" i="11"/>
  <c r="H84" i="11"/>
  <c r="H88" i="11"/>
  <c r="H121" i="11"/>
  <c r="H114" i="11"/>
  <c r="H113" i="11"/>
  <c r="H112" i="11"/>
  <c r="H111" i="11"/>
  <c r="H110" i="11"/>
  <c r="H109" i="11"/>
  <c r="H108" i="11"/>
  <c r="H132" i="11"/>
  <c r="H130" i="11"/>
  <c r="H129" i="11"/>
  <c r="H128" i="11"/>
  <c r="H127" i="11"/>
  <c r="H126" i="11"/>
  <c r="H125" i="11"/>
  <c r="H117" i="11"/>
  <c r="H140" i="11"/>
  <c r="H138" i="11"/>
  <c r="H137" i="11"/>
  <c r="H148" i="11"/>
  <c r="H147" i="11"/>
  <c r="H145" i="11"/>
  <c r="H144" i="11"/>
  <c r="H170" i="11"/>
  <c r="H169" i="11"/>
  <c r="H168" i="11"/>
  <c r="H167" i="11"/>
  <c r="H159" i="11"/>
  <c r="H185" i="11"/>
  <c r="H183" i="11"/>
  <c r="H116" i="11"/>
  <c r="H182" i="11"/>
  <c r="H181" i="11"/>
  <c r="H180" i="11"/>
  <c r="H179" i="11"/>
  <c r="H178" i="11"/>
  <c r="H177" i="11"/>
  <c r="H176" i="11"/>
  <c r="H119" i="11"/>
  <c r="H118" i="11"/>
  <c r="H175" i="11"/>
  <c r="H100" i="11"/>
  <c r="H115" i="11"/>
  <c r="C146" i="11"/>
  <c r="O146" i="26"/>
  <c r="O150" i="26"/>
  <c r="O188" i="26"/>
  <c r="C94" i="11"/>
  <c r="O94" i="26"/>
  <c r="C66" i="11"/>
  <c r="C49" i="11"/>
  <c r="C38" i="11"/>
  <c r="H166" i="11"/>
  <c r="H165" i="11"/>
  <c r="H158" i="11"/>
  <c r="D94" i="7"/>
  <c r="K94" i="26"/>
  <c r="D94" i="11"/>
  <c r="BN94" i="2"/>
  <c r="D94" i="8"/>
  <c r="BL94" i="2"/>
  <c r="D99" i="2"/>
  <c r="D179" i="2"/>
  <c r="F179" i="2"/>
  <c r="D179" i="17"/>
  <c r="E179" i="17"/>
  <c r="C97" i="5"/>
  <c r="E115" i="17"/>
  <c r="D115" i="17"/>
  <c r="E185" i="17"/>
  <c r="E183" i="17"/>
  <c r="E116" i="17"/>
  <c r="E182" i="17"/>
  <c r="E181" i="17"/>
  <c r="E180" i="17"/>
  <c r="E178" i="17"/>
  <c r="E177" i="17"/>
  <c r="E176" i="17"/>
  <c r="E119" i="17"/>
  <c r="E118" i="17"/>
  <c r="E100" i="17"/>
  <c r="E170" i="17"/>
  <c r="E169" i="17"/>
  <c r="E168" i="17"/>
  <c r="E167" i="17"/>
  <c r="E166" i="17"/>
  <c r="E165" i="17"/>
  <c r="E164" i="17"/>
  <c r="E159" i="17"/>
  <c r="E154" i="17"/>
  <c r="E155" i="17"/>
  <c r="E148" i="17"/>
  <c r="E147" i="17"/>
  <c r="E146" i="17"/>
  <c r="E145" i="17"/>
  <c r="E144" i="17"/>
  <c r="E140" i="17"/>
  <c r="E138" i="17"/>
  <c r="E137" i="17"/>
  <c r="E132" i="17"/>
  <c r="E130" i="17"/>
  <c r="E129" i="17"/>
  <c r="E128" i="17"/>
  <c r="E127" i="17"/>
  <c r="E126" i="17"/>
  <c r="E125" i="17"/>
  <c r="E117" i="17"/>
  <c r="E121" i="17"/>
  <c r="E114" i="17"/>
  <c r="E113" i="17"/>
  <c r="E112" i="17"/>
  <c r="E111" i="17"/>
  <c r="E110" i="17"/>
  <c r="E109" i="17"/>
  <c r="E108" i="17"/>
  <c r="H141" i="11"/>
  <c r="J146" i="26"/>
  <c r="J150" i="26"/>
  <c r="J188" i="26"/>
  <c r="C150" i="8"/>
  <c r="I130" i="1"/>
  <c r="BE130" i="21"/>
  <c r="I146" i="1"/>
  <c r="BE146" i="21"/>
  <c r="I21" i="1"/>
  <c r="BE21" i="21"/>
  <c r="BE38" i="21"/>
  <c r="BE68" i="21"/>
  <c r="I128" i="1"/>
  <c r="BE128" i="21"/>
  <c r="I144" i="1"/>
  <c r="BE144" i="21"/>
  <c r="I147" i="1"/>
  <c r="BE147" i="21"/>
  <c r="I129" i="1"/>
  <c r="BE129" i="21"/>
  <c r="I79" i="1"/>
  <c r="BE79" i="21"/>
  <c r="I179" i="1"/>
  <c r="BE179" i="21"/>
  <c r="BE186" i="21"/>
  <c r="R94" i="26"/>
  <c r="K150" i="26"/>
  <c r="K188" i="26"/>
  <c r="I146" i="7"/>
  <c r="D150" i="7"/>
  <c r="D189" i="7"/>
  <c r="I94" i="7"/>
  <c r="C150" i="11"/>
  <c r="H122" i="11"/>
  <c r="H133" i="11"/>
  <c r="H49" i="11"/>
  <c r="H186" i="11"/>
  <c r="F97" i="5"/>
  <c r="BK97" i="2"/>
  <c r="D175" i="21"/>
  <c r="D186" i="21"/>
  <c r="H141" i="8"/>
  <c r="H186" i="8"/>
  <c r="AH102" i="17"/>
  <c r="AH104" i="17"/>
  <c r="AH190" i="17"/>
  <c r="AJ186" i="17"/>
  <c r="AJ188" i="17"/>
  <c r="C175" i="21"/>
  <c r="BB155" i="21"/>
  <c r="I154" i="1"/>
  <c r="I155" i="1"/>
  <c r="I141" i="1"/>
  <c r="AM115" i="17"/>
  <c r="F115" i="1"/>
  <c r="C68" i="21"/>
  <c r="BB150" i="21"/>
  <c r="BQ179" i="2"/>
  <c r="C179" i="1"/>
  <c r="D88" i="21"/>
  <c r="BB84" i="21"/>
  <c r="BB141" i="21"/>
  <c r="D171" i="21"/>
  <c r="BB158" i="21"/>
  <c r="BB133" i="21"/>
  <c r="BB38" i="21"/>
  <c r="BB49" i="21"/>
  <c r="D68" i="21"/>
  <c r="BB93" i="21"/>
  <c r="I93" i="1"/>
  <c r="BB99" i="21"/>
  <c r="E122" i="17"/>
  <c r="E141" i="17"/>
  <c r="E133" i="17"/>
  <c r="AM179" i="17"/>
  <c r="F179" i="1"/>
  <c r="E150" i="17"/>
  <c r="J188" i="21"/>
  <c r="BN155" i="2"/>
  <c r="BN188" i="2"/>
  <c r="R188" i="21"/>
  <c r="L188" i="21"/>
  <c r="F188" i="21"/>
  <c r="AB188" i="21"/>
  <c r="AC188" i="21"/>
  <c r="G188" i="21"/>
  <c r="Y188" i="21"/>
  <c r="V188" i="21"/>
  <c r="AI188" i="21"/>
  <c r="H94" i="11"/>
  <c r="H154" i="11"/>
  <c r="H155" i="11"/>
  <c r="H93" i="11"/>
  <c r="H146" i="11"/>
  <c r="H150" i="11"/>
  <c r="H93" i="8"/>
  <c r="H94" i="8"/>
  <c r="H146" i="8"/>
  <c r="H150" i="8"/>
  <c r="H78" i="8"/>
  <c r="H79" i="8"/>
  <c r="C68" i="8"/>
  <c r="C68" i="11"/>
  <c r="X94" i="17"/>
  <c r="T94" i="17"/>
  <c r="R94" i="17"/>
  <c r="P94" i="17"/>
  <c r="O94" i="17"/>
  <c r="N94" i="17"/>
  <c r="M94" i="17"/>
  <c r="L94" i="17"/>
  <c r="J94" i="17"/>
  <c r="I94" i="17"/>
  <c r="G94" i="17"/>
  <c r="F94" i="17"/>
  <c r="E13" i="17"/>
  <c r="D13" i="17"/>
  <c r="X88" i="17"/>
  <c r="R88" i="17"/>
  <c r="P88" i="17"/>
  <c r="O88" i="17"/>
  <c r="N88" i="17"/>
  <c r="M88" i="17"/>
  <c r="L88" i="17"/>
  <c r="BB94" i="2"/>
  <c r="BA94" i="2"/>
  <c r="AZ94" i="2"/>
  <c r="AY94" i="2"/>
  <c r="AX94" i="2"/>
  <c r="AW94" i="2"/>
  <c r="AV94" i="2"/>
  <c r="AU94" i="2"/>
  <c r="AS94" i="2"/>
  <c r="AR94" i="2"/>
  <c r="AQ94" i="2"/>
  <c r="AP94" i="2"/>
  <c r="AO94" i="2"/>
  <c r="AN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M94" i="2"/>
  <c r="L94" i="2"/>
  <c r="K94" i="2"/>
  <c r="J94" i="2"/>
  <c r="H94" i="2"/>
  <c r="G94" i="2"/>
  <c r="AK88" i="2"/>
  <c r="I133" i="1"/>
  <c r="T146" i="26"/>
  <c r="L146" i="1"/>
  <c r="I150" i="1"/>
  <c r="BE150" i="21"/>
  <c r="I99" i="1"/>
  <c r="BE99" i="21"/>
  <c r="BE133" i="21"/>
  <c r="O179" i="1"/>
  <c r="AH192" i="17"/>
  <c r="AZ66" i="21"/>
  <c r="AZ68" i="21"/>
  <c r="BB58" i="21"/>
  <c r="BB88" i="21"/>
  <c r="I84" i="1"/>
  <c r="BB171" i="21"/>
  <c r="I158" i="1"/>
  <c r="C186" i="21"/>
  <c r="C188" i="21"/>
  <c r="C190" i="21"/>
  <c r="C192" i="21"/>
  <c r="BB175" i="21"/>
  <c r="I175" i="1"/>
  <c r="E49" i="17"/>
  <c r="E66" i="17"/>
  <c r="C38" i="17"/>
  <c r="E38" i="17"/>
  <c r="AM13" i="17"/>
  <c r="F13" i="1"/>
  <c r="E188" i="21"/>
  <c r="E94" i="2"/>
  <c r="C188" i="8"/>
  <c r="C188" i="11"/>
  <c r="D188" i="21"/>
  <c r="I38" i="1"/>
  <c r="I49" i="1"/>
  <c r="E66" i="11"/>
  <c r="E38" i="11"/>
  <c r="E94" i="17"/>
  <c r="E93" i="17"/>
  <c r="H164" i="11"/>
  <c r="H171" i="11"/>
  <c r="D38" i="11"/>
  <c r="T150" i="26"/>
  <c r="BE188" i="21"/>
  <c r="E175" i="17"/>
  <c r="I58" i="1"/>
  <c r="I66" i="1"/>
  <c r="I68" i="1"/>
  <c r="BB66" i="21"/>
  <c r="BB68" i="21"/>
  <c r="I171" i="1"/>
  <c r="I148" i="7"/>
  <c r="E68" i="17"/>
  <c r="I88" i="1"/>
  <c r="E68" i="11"/>
  <c r="H16" i="11"/>
  <c r="H38" i="11"/>
  <c r="H57" i="11"/>
  <c r="H66" i="11"/>
  <c r="I150" i="7"/>
  <c r="E186" i="17"/>
  <c r="E158" i="17"/>
  <c r="E171" i="17"/>
  <c r="E188" i="17"/>
  <c r="M94" i="3"/>
  <c r="J94" i="3"/>
  <c r="G94" i="3"/>
  <c r="C94" i="3"/>
  <c r="D94" i="26"/>
  <c r="T94" i="26"/>
  <c r="L94" i="1"/>
  <c r="Z94" i="17"/>
  <c r="AP94" i="21"/>
  <c r="BD94" i="2"/>
  <c r="BH94" i="2"/>
  <c r="BG94" i="2"/>
  <c r="AS94" i="21"/>
  <c r="AR94" i="21"/>
  <c r="BF94" i="2"/>
  <c r="L150" i="1"/>
  <c r="C49" i="17"/>
  <c r="C175" i="17"/>
  <c r="BB94" i="21"/>
  <c r="I94" i="1"/>
  <c r="C68" i="17"/>
  <c r="C186" i="17"/>
  <c r="C188" i="17"/>
  <c r="C190" i="17"/>
  <c r="L141" i="1"/>
  <c r="E99" i="17"/>
  <c r="T88" i="17"/>
  <c r="E88" i="17"/>
  <c r="D94" i="2"/>
  <c r="H25" i="15"/>
  <c r="H26" i="15"/>
  <c r="H27" i="15"/>
  <c r="H28" i="15"/>
  <c r="H29" i="15"/>
  <c r="H30" i="15"/>
  <c r="H31" i="15"/>
  <c r="H32" i="15"/>
  <c r="H33" i="15"/>
  <c r="H28" i="13"/>
  <c r="H29" i="13"/>
  <c r="H30" i="13"/>
  <c r="H31" i="13"/>
  <c r="H159" i="8"/>
  <c r="H171" i="8"/>
  <c r="AM42" i="17"/>
  <c r="F42" i="1"/>
  <c r="I88" i="17"/>
  <c r="J88" i="17"/>
  <c r="D108" i="17"/>
  <c r="D109" i="17"/>
  <c r="D110" i="17"/>
  <c r="D111" i="17"/>
  <c r="D112" i="17"/>
  <c r="D113" i="17"/>
  <c r="AM113" i="17"/>
  <c r="F113" i="1"/>
  <c r="D114" i="17"/>
  <c r="D121" i="17"/>
  <c r="D117" i="17"/>
  <c r="AM117" i="17"/>
  <c r="F117" i="1"/>
  <c r="D125" i="17"/>
  <c r="D126" i="17"/>
  <c r="D127" i="17"/>
  <c r="D128" i="17"/>
  <c r="D129" i="17"/>
  <c r="D130" i="17"/>
  <c r="D132" i="17"/>
  <c r="AM132" i="17"/>
  <c r="F132" i="1"/>
  <c r="D137" i="17"/>
  <c r="D138" i="17"/>
  <c r="D140" i="17"/>
  <c r="D144" i="17"/>
  <c r="D145" i="17"/>
  <c r="D146" i="17"/>
  <c r="D147" i="17"/>
  <c r="D148" i="17"/>
  <c r="D154" i="17"/>
  <c r="D159" i="17"/>
  <c r="AM159" i="17"/>
  <c r="F159" i="1"/>
  <c r="D164" i="17"/>
  <c r="D165" i="17"/>
  <c r="D166" i="17"/>
  <c r="D167" i="17"/>
  <c r="D168" i="17"/>
  <c r="D169" i="17"/>
  <c r="D170" i="17"/>
  <c r="D100" i="17"/>
  <c r="D118" i="17"/>
  <c r="D119" i="17"/>
  <c r="D176" i="17"/>
  <c r="D177" i="17"/>
  <c r="D178" i="17"/>
  <c r="D180" i="17"/>
  <c r="D181" i="17"/>
  <c r="D182" i="17"/>
  <c r="D116" i="17"/>
  <c r="D183" i="17"/>
  <c r="D185" i="17"/>
  <c r="V171" i="2"/>
  <c r="V188" i="2"/>
  <c r="U171" i="2"/>
  <c r="U188" i="2"/>
  <c r="T171" i="2"/>
  <c r="T188" i="2"/>
  <c r="S171" i="2"/>
  <c r="S188" i="2"/>
  <c r="R171" i="2"/>
  <c r="R188" i="2"/>
  <c r="Q171" i="2"/>
  <c r="Q188" i="2"/>
  <c r="P171" i="2"/>
  <c r="P188" i="2"/>
  <c r="O171" i="2"/>
  <c r="O188" i="2"/>
  <c r="M171" i="2"/>
  <c r="M188" i="2"/>
  <c r="L171" i="2"/>
  <c r="L188" i="2"/>
  <c r="K171" i="2"/>
  <c r="K188" i="2"/>
  <c r="J171" i="2"/>
  <c r="J188" i="2"/>
  <c r="E7" i="2"/>
  <c r="H130" i="8"/>
  <c r="AO84" i="2"/>
  <c r="AO88" i="2"/>
  <c r="AN84" i="2"/>
  <c r="AN88" i="2"/>
  <c r="BB84" i="2"/>
  <c r="BB88" i="2"/>
  <c r="BA84" i="2"/>
  <c r="BA88" i="2"/>
  <c r="AZ84" i="2"/>
  <c r="AZ88" i="2"/>
  <c r="AY84" i="2"/>
  <c r="AY88" i="2"/>
  <c r="AX84" i="2"/>
  <c r="AX88" i="2"/>
  <c r="AW84" i="2"/>
  <c r="AW88" i="2"/>
  <c r="AV84" i="2"/>
  <c r="AV88" i="2"/>
  <c r="AU84" i="2"/>
  <c r="AU88" i="2"/>
  <c r="AS84" i="2"/>
  <c r="AS88" i="2"/>
  <c r="AQ84" i="2"/>
  <c r="AQ88" i="2"/>
  <c r="AP84" i="2"/>
  <c r="AP88" i="2"/>
  <c r="AL88" i="2"/>
  <c r="AJ88" i="2"/>
  <c r="AI88" i="2"/>
  <c r="AH88" i="2"/>
  <c r="AG88" i="2"/>
  <c r="AF88" i="2"/>
  <c r="AE88" i="2"/>
  <c r="AD88" i="2"/>
  <c r="AC88" i="2"/>
  <c r="AA84" i="2"/>
  <c r="AA88" i="2"/>
  <c r="Z84" i="2"/>
  <c r="Z88" i="2"/>
  <c r="AB84" i="2"/>
  <c r="AB88" i="2"/>
  <c r="W84" i="2"/>
  <c r="W88" i="2"/>
  <c r="Y84" i="2"/>
  <c r="Y88" i="2"/>
  <c r="X84" i="2"/>
  <c r="X88" i="2"/>
  <c r="V84" i="2"/>
  <c r="V88" i="2"/>
  <c r="U84" i="2"/>
  <c r="U88" i="2"/>
  <c r="T84" i="2"/>
  <c r="T88" i="2"/>
  <c r="S84" i="2"/>
  <c r="S88" i="2"/>
  <c r="R84" i="2"/>
  <c r="R88" i="2"/>
  <c r="Q84" i="2"/>
  <c r="Q88" i="2"/>
  <c r="P84" i="2"/>
  <c r="P88" i="2"/>
  <c r="O84" i="2"/>
  <c r="O88" i="2"/>
  <c r="M84" i="2"/>
  <c r="M88" i="2"/>
  <c r="L84" i="2"/>
  <c r="L88" i="2"/>
  <c r="K84" i="2"/>
  <c r="K88" i="2"/>
  <c r="J84" i="2"/>
  <c r="J88" i="2"/>
  <c r="G158" i="2"/>
  <c r="C42" i="2"/>
  <c r="H146" i="2"/>
  <c r="H150" i="2"/>
  <c r="H188" i="2"/>
  <c r="G146" i="2"/>
  <c r="G150" i="2"/>
  <c r="C148" i="2"/>
  <c r="D121" i="2"/>
  <c r="F121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C132" i="2"/>
  <c r="H99" i="11"/>
  <c r="D88" i="8"/>
  <c r="H88" i="8"/>
  <c r="H99" i="8"/>
  <c r="M88" i="3"/>
  <c r="J88" i="3"/>
  <c r="G88" i="3"/>
  <c r="C88" i="3"/>
  <c r="F72" i="2"/>
  <c r="F74" i="2"/>
  <c r="F75" i="2"/>
  <c r="F76" i="2"/>
  <c r="F77" i="2"/>
  <c r="F78" i="2"/>
  <c r="F79" i="2"/>
  <c r="F85" i="2"/>
  <c r="F87" i="2"/>
  <c r="F7" i="2"/>
  <c r="F116" i="2"/>
  <c r="D116" i="2"/>
  <c r="F182" i="2"/>
  <c r="D182" i="2"/>
  <c r="F181" i="2"/>
  <c r="D181" i="2"/>
  <c r="F180" i="2"/>
  <c r="D180" i="2"/>
  <c r="F178" i="2"/>
  <c r="D178" i="2"/>
  <c r="F177" i="2"/>
  <c r="D177" i="2"/>
  <c r="F176" i="2"/>
  <c r="D176" i="2"/>
  <c r="F119" i="2"/>
  <c r="D119" i="2"/>
  <c r="F118" i="2"/>
  <c r="D118" i="2"/>
  <c r="F100" i="2"/>
  <c r="D100" i="2"/>
  <c r="F115" i="2"/>
  <c r="D115" i="2"/>
  <c r="F170" i="2"/>
  <c r="D170" i="2"/>
  <c r="F169" i="2"/>
  <c r="D169" i="2"/>
  <c r="F168" i="2"/>
  <c r="D168" i="2"/>
  <c r="F167" i="2"/>
  <c r="D167" i="2"/>
  <c r="F166" i="2"/>
  <c r="D166" i="2"/>
  <c r="F165" i="2"/>
  <c r="D165" i="2"/>
  <c r="F164" i="2"/>
  <c r="D164" i="2"/>
  <c r="F159" i="2"/>
  <c r="D159" i="2"/>
  <c r="F158" i="2"/>
  <c r="F154" i="2"/>
  <c r="F155" i="2"/>
  <c r="D154" i="2"/>
  <c r="F148" i="2"/>
  <c r="D148" i="2"/>
  <c r="F147" i="2"/>
  <c r="D147" i="2"/>
  <c r="F146" i="2"/>
  <c r="D146" i="2"/>
  <c r="F145" i="2"/>
  <c r="D145" i="2"/>
  <c r="F144" i="2"/>
  <c r="D144" i="2"/>
  <c r="F140" i="2"/>
  <c r="D140" i="2"/>
  <c r="F138" i="2"/>
  <c r="D138" i="2"/>
  <c r="F137" i="2"/>
  <c r="D137" i="2"/>
  <c r="F132" i="2"/>
  <c r="D132" i="2"/>
  <c r="F130" i="2"/>
  <c r="D130" i="2"/>
  <c r="F129" i="2"/>
  <c r="D129" i="2"/>
  <c r="F128" i="2"/>
  <c r="D128" i="2"/>
  <c r="F127" i="2"/>
  <c r="D127" i="2"/>
  <c r="F126" i="2"/>
  <c r="D126" i="2"/>
  <c r="F125" i="2"/>
  <c r="D125" i="2"/>
  <c r="F117" i="2"/>
  <c r="D117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D87" i="2"/>
  <c r="D85" i="2"/>
  <c r="D79" i="2"/>
  <c r="D78" i="2"/>
  <c r="D77" i="2"/>
  <c r="D76" i="2"/>
  <c r="D75" i="2"/>
  <c r="D72" i="2"/>
  <c r="D4" i="12"/>
  <c r="D5" i="12"/>
  <c r="D6" i="12"/>
  <c r="D7" i="12"/>
  <c r="D8" i="12"/>
  <c r="D9" i="12"/>
  <c r="D10" i="12"/>
  <c r="B18" i="12"/>
  <c r="B40" i="12"/>
  <c r="D19" i="12"/>
  <c r="D96" i="12"/>
  <c r="D97" i="12"/>
  <c r="F96" i="12"/>
  <c r="H96" i="12"/>
  <c r="J96" i="12"/>
  <c r="H140" i="12"/>
  <c r="J140" i="12"/>
  <c r="D15" i="13"/>
  <c r="D16" i="13"/>
  <c r="D17" i="13"/>
  <c r="D18" i="13"/>
  <c r="F27" i="13"/>
  <c r="F42" i="13"/>
  <c r="H89" i="13"/>
  <c r="H90" i="13"/>
  <c r="D106" i="13"/>
  <c r="D107" i="13"/>
  <c r="H106" i="13"/>
  <c r="D19" i="14"/>
  <c r="F19" i="14"/>
  <c r="H19" i="14"/>
  <c r="D20" i="14"/>
  <c r="D21" i="14"/>
  <c r="D120" i="14"/>
  <c r="D121" i="14"/>
  <c r="D122" i="14"/>
  <c r="D123" i="14"/>
  <c r="D124" i="14"/>
  <c r="D125" i="14"/>
  <c r="D126" i="14"/>
  <c r="D127" i="14"/>
  <c r="D128" i="14"/>
  <c r="D129" i="14"/>
  <c r="H120" i="14"/>
  <c r="J120" i="14"/>
  <c r="F173" i="14"/>
  <c r="H173" i="14"/>
  <c r="J173" i="14"/>
  <c r="B3" i="15"/>
  <c r="B3" i="13"/>
  <c r="F24" i="15"/>
  <c r="D39" i="15"/>
  <c r="D53" i="15"/>
  <c r="H53" i="15"/>
  <c r="H54" i="15"/>
  <c r="H55" i="15"/>
  <c r="H56" i="15"/>
  <c r="H57" i="15"/>
  <c r="H58" i="15"/>
  <c r="H59" i="15"/>
  <c r="H60" i="15"/>
  <c r="H61" i="15"/>
  <c r="H62" i="15"/>
  <c r="D66" i="8"/>
  <c r="H66" i="8"/>
  <c r="D38" i="8"/>
  <c r="H38" i="8"/>
  <c r="M66" i="3"/>
  <c r="M49" i="3"/>
  <c r="M38" i="3"/>
  <c r="J66" i="3"/>
  <c r="J49" i="3"/>
  <c r="J38" i="3"/>
  <c r="G66" i="3"/>
  <c r="G49" i="3"/>
  <c r="G38" i="3"/>
  <c r="C66" i="3"/>
  <c r="C38" i="3"/>
  <c r="I85" i="23"/>
  <c r="D25" i="15"/>
  <c r="F25" i="15"/>
  <c r="F4" i="12"/>
  <c r="H4" i="12"/>
  <c r="H5" i="12"/>
  <c r="H6" i="12"/>
  <c r="H7" i="12"/>
  <c r="H8" i="12"/>
  <c r="H9" i="12"/>
  <c r="H10" i="12"/>
  <c r="H11" i="12"/>
  <c r="H12" i="12"/>
  <c r="H13" i="12"/>
  <c r="H116" i="12"/>
  <c r="D49" i="11"/>
  <c r="C49" i="3"/>
  <c r="D49" i="8"/>
  <c r="H49" i="8"/>
  <c r="F81" i="12"/>
  <c r="H81" i="12"/>
  <c r="J81" i="12"/>
  <c r="F82" i="12"/>
  <c r="F83" i="12"/>
  <c r="H83" i="12"/>
  <c r="J83" i="12"/>
  <c r="G68" i="3"/>
  <c r="I110" i="7"/>
  <c r="I122" i="7"/>
  <c r="G72" i="21"/>
  <c r="K85" i="23"/>
  <c r="AG73" i="21"/>
  <c r="P73" i="21"/>
  <c r="I83" i="23"/>
  <c r="T73" i="21"/>
  <c r="K73" i="21"/>
  <c r="C68" i="3"/>
  <c r="M68" i="3"/>
  <c r="J68" i="3"/>
  <c r="BQ31" i="2"/>
  <c r="C31" i="1"/>
  <c r="BQ79" i="2"/>
  <c r="BQ159" i="2"/>
  <c r="C159" i="1"/>
  <c r="O159" i="1"/>
  <c r="BQ165" i="2"/>
  <c r="BQ167" i="2"/>
  <c r="C167" i="1"/>
  <c r="BQ169" i="2"/>
  <c r="BQ115" i="2"/>
  <c r="BQ118" i="2"/>
  <c r="C118" i="1"/>
  <c r="BQ176" i="2"/>
  <c r="C176" i="1"/>
  <c r="BQ178" i="2"/>
  <c r="C178" i="1"/>
  <c r="BQ181" i="2"/>
  <c r="C181" i="1"/>
  <c r="BQ116" i="2"/>
  <c r="BQ35" i="2"/>
  <c r="C35" i="1"/>
  <c r="BQ26" i="2"/>
  <c r="C26" i="1"/>
  <c r="BQ48" i="2"/>
  <c r="C48" i="1"/>
  <c r="BQ44" i="2"/>
  <c r="C44" i="1"/>
  <c r="BQ65" i="2"/>
  <c r="C65" i="1"/>
  <c r="BQ61" i="2"/>
  <c r="C61" i="1"/>
  <c r="BQ57" i="2"/>
  <c r="C57" i="1"/>
  <c r="BQ53" i="2"/>
  <c r="C53" i="1"/>
  <c r="BQ108" i="2"/>
  <c r="BQ110" i="2"/>
  <c r="C110" i="1"/>
  <c r="BQ112" i="2"/>
  <c r="C112" i="1"/>
  <c r="BQ114" i="2"/>
  <c r="BQ125" i="2"/>
  <c r="C125" i="1"/>
  <c r="BQ127" i="2"/>
  <c r="C127" i="1"/>
  <c r="BQ129" i="2"/>
  <c r="C129" i="1"/>
  <c r="BQ138" i="2"/>
  <c r="C138" i="1"/>
  <c r="BQ144" i="2"/>
  <c r="C144" i="1"/>
  <c r="BQ19" i="2"/>
  <c r="C19" i="1"/>
  <c r="BQ15" i="2"/>
  <c r="C15" i="1"/>
  <c r="D19" i="13"/>
  <c r="D20" i="13"/>
  <c r="D21" i="13"/>
  <c r="BQ20" i="2"/>
  <c r="C20" i="1"/>
  <c r="BQ16" i="2"/>
  <c r="C16" i="1"/>
  <c r="BQ23" i="2"/>
  <c r="C23" i="1"/>
  <c r="BQ87" i="2"/>
  <c r="E74" i="17"/>
  <c r="AY73" i="2"/>
  <c r="AY80" i="2"/>
  <c r="AY90" i="2"/>
  <c r="AS80" i="2"/>
  <c r="AS90" i="2"/>
  <c r="G121" i="4"/>
  <c r="G122" i="4"/>
  <c r="G188" i="4"/>
  <c r="C122" i="4"/>
  <c r="BJ122" i="2"/>
  <c r="BJ188" i="2"/>
  <c r="BQ146" i="2"/>
  <c r="C146" i="1"/>
  <c r="BQ42" i="2"/>
  <c r="BQ33" i="2"/>
  <c r="C33" i="1"/>
  <c r="BQ24" i="2"/>
  <c r="C24" i="1"/>
  <c r="BQ47" i="2"/>
  <c r="C47" i="1"/>
  <c r="BQ43" i="2"/>
  <c r="C43" i="1"/>
  <c r="BQ64" i="2"/>
  <c r="C64" i="1"/>
  <c r="BQ60" i="2"/>
  <c r="C60" i="1"/>
  <c r="BQ56" i="2"/>
  <c r="C56" i="1"/>
  <c r="BQ30" i="2"/>
  <c r="C30" i="1"/>
  <c r="BQ109" i="2"/>
  <c r="BQ111" i="2"/>
  <c r="BQ113" i="2"/>
  <c r="C113" i="1"/>
  <c r="O113" i="1"/>
  <c r="BQ117" i="2"/>
  <c r="C117" i="1"/>
  <c r="O117" i="1"/>
  <c r="BQ126" i="2"/>
  <c r="C126" i="1"/>
  <c r="BQ128" i="2"/>
  <c r="C128" i="1"/>
  <c r="BQ130" i="2"/>
  <c r="C130" i="1"/>
  <c r="BQ137" i="2"/>
  <c r="BQ140" i="2"/>
  <c r="C140" i="1"/>
  <c r="BQ145" i="2"/>
  <c r="C145" i="1"/>
  <c r="BQ147" i="2"/>
  <c r="C147" i="1"/>
  <c r="BQ154" i="2"/>
  <c r="BQ37" i="2"/>
  <c r="C37" i="1"/>
  <c r="BQ28" i="2"/>
  <c r="C28" i="1"/>
  <c r="BQ22" i="2"/>
  <c r="C22" i="1"/>
  <c r="BQ46" i="2"/>
  <c r="C46" i="1"/>
  <c r="BQ63" i="2"/>
  <c r="C63" i="1"/>
  <c r="BQ59" i="2"/>
  <c r="C59" i="1"/>
  <c r="BQ55" i="2"/>
  <c r="C55" i="1"/>
  <c r="BQ34" i="2"/>
  <c r="C34" i="1"/>
  <c r="BQ29" i="2"/>
  <c r="C29" i="1"/>
  <c r="BQ132" i="2"/>
  <c r="C132" i="1"/>
  <c r="O132" i="1"/>
  <c r="BQ13" i="2"/>
  <c r="BQ85" i="2"/>
  <c r="BQ148" i="2"/>
  <c r="C148" i="1"/>
  <c r="BQ17" i="2"/>
  <c r="C17" i="1"/>
  <c r="BQ164" i="2"/>
  <c r="C164" i="1"/>
  <c r="BQ166" i="2"/>
  <c r="BQ168" i="2"/>
  <c r="C168" i="1"/>
  <c r="BQ170" i="2"/>
  <c r="C170" i="1"/>
  <c r="BQ100" i="2"/>
  <c r="C100" i="1"/>
  <c r="BQ119" i="2"/>
  <c r="C119" i="1"/>
  <c r="BQ177" i="2"/>
  <c r="C177" i="1"/>
  <c r="BQ180" i="2"/>
  <c r="C180" i="1"/>
  <c r="BQ182" i="2"/>
  <c r="C182" i="1"/>
  <c r="BQ183" i="2"/>
  <c r="C183" i="1"/>
  <c r="BQ36" i="2"/>
  <c r="C36" i="1"/>
  <c r="BQ27" i="2"/>
  <c r="C27" i="1"/>
  <c r="BQ21" i="2"/>
  <c r="C21" i="1"/>
  <c r="BQ45" i="2"/>
  <c r="C45" i="1"/>
  <c r="BQ41" i="2"/>
  <c r="C41" i="1"/>
  <c r="BQ62" i="2"/>
  <c r="C62" i="1"/>
  <c r="BQ54" i="2"/>
  <c r="C54" i="1"/>
  <c r="BQ32" i="2"/>
  <c r="C32" i="1"/>
  <c r="BQ25" i="2"/>
  <c r="C25" i="1"/>
  <c r="BQ7" i="2"/>
  <c r="BQ18" i="2"/>
  <c r="BQ14" i="2"/>
  <c r="C14" i="1"/>
  <c r="AM176" i="17"/>
  <c r="F176" i="1"/>
  <c r="AM164" i="17"/>
  <c r="F164" i="1"/>
  <c r="AM146" i="17"/>
  <c r="F146" i="1"/>
  <c r="D141" i="17"/>
  <c r="AM137" i="17"/>
  <c r="F137" i="1"/>
  <c r="AM110" i="17"/>
  <c r="F110" i="1"/>
  <c r="AM87" i="17"/>
  <c r="F87" i="1"/>
  <c r="AM59" i="17"/>
  <c r="F59" i="1"/>
  <c r="AM46" i="17"/>
  <c r="F46" i="1"/>
  <c r="AM15" i="17"/>
  <c r="F15" i="1"/>
  <c r="AM116" i="17"/>
  <c r="F116" i="1"/>
  <c r="AM178" i="17"/>
  <c r="F178" i="1"/>
  <c r="AM118" i="17"/>
  <c r="F118" i="1"/>
  <c r="AM170" i="17"/>
  <c r="F170" i="1"/>
  <c r="AM166" i="17"/>
  <c r="F166" i="1"/>
  <c r="AM148" i="17"/>
  <c r="F148" i="1"/>
  <c r="AM144" i="17"/>
  <c r="F144" i="1"/>
  <c r="D150" i="17"/>
  <c r="AM140" i="17"/>
  <c r="F140" i="1"/>
  <c r="AM129" i="17"/>
  <c r="F129" i="1"/>
  <c r="AM125" i="17"/>
  <c r="F125" i="1"/>
  <c r="D133" i="17"/>
  <c r="AM112" i="17"/>
  <c r="F112" i="1"/>
  <c r="AM108" i="17"/>
  <c r="F108" i="1"/>
  <c r="D122" i="17"/>
  <c r="AM65" i="17"/>
  <c r="F65" i="1"/>
  <c r="AM57" i="17"/>
  <c r="F57" i="1"/>
  <c r="D66" i="17"/>
  <c r="AM53" i="17"/>
  <c r="F53" i="1"/>
  <c r="AM48" i="17"/>
  <c r="F48" i="1"/>
  <c r="AM44" i="17"/>
  <c r="F44" i="1"/>
  <c r="AM36" i="17"/>
  <c r="F36" i="1"/>
  <c r="AM32" i="17"/>
  <c r="F32" i="1"/>
  <c r="AM28" i="17"/>
  <c r="F28" i="1"/>
  <c r="AM24" i="17"/>
  <c r="F24" i="1"/>
  <c r="AM17" i="17"/>
  <c r="F17" i="1"/>
  <c r="AM182" i="17"/>
  <c r="F182" i="1"/>
  <c r="AM177" i="17"/>
  <c r="F177" i="1"/>
  <c r="AM169" i="17"/>
  <c r="F169" i="1"/>
  <c r="AM165" i="17"/>
  <c r="F165" i="1"/>
  <c r="AM147" i="17"/>
  <c r="F147" i="1"/>
  <c r="AM138" i="17"/>
  <c r="F138" i="1"/>
  <c r="AM128" i="17"/>
  <c r="F128" i="1"/>
  <c r="AM121" i="17"/>
  <c r="F121" i="1"/>
  <c r="AM111" i="17"/>
  <c r="F111" i="1"/>
  <c r="AM64" i="17"/>
  <c r="F64" i="1"/>
  <c r="AM60" i="17"/>
  <c r="F60" i="1"/>
  <c r="AM56" i="17"/>
  <c r="F56" i="1"/>
  <c r="AM47" i="17"/>
  <c r="F47" i="1"/>
  <c r="AM43" i="17"/>
  <c r="F43" i="1"/>
  <c r="AM35" i="17"/>
  <c r="F35" i="1"/>
  <c r="AM31" i="17"/>
  <c r="F31" i="1"/>
  <c r="AM27" i="17"/>
  <c r="F27" i="1"/>
  <c r="AM23" i="17"/>
  <c r="F23" i="1"/>
  <c r="AM20" i="17"/>
  <c r="F20" i="1"/>
  <c r="AM16" i="17"/>
  <c r="F16" i="1"/>
  <c r="AM181" i="17"/>
  <c r="F181" i="1"/>
  <c r="AM100" i="17"/>
  <c r="F100" i="1"/>
  <c r="AM168" i="17"/>
  <c r="F168" i="1"/>
  <c r="AM127" i="17"/>
  <c r="F127" i="1"/>
  <c r="AM114" i="17"/>
  <c r="F114" i="1"/>
  <c r="AM63" i="17"/>
  <c r="F63" i="1"/>
  <c r="AM55" i="17"/>
  <c r="F55" i="1"/>
  <c r="AM34" i="17"/>
  <c r="F34" i="1"/>
  <c r="AM30" i="17"/>
  <c r="F30" i="1"/>
  <c r="AM26" i="17"/>
  <c r="F26" i="1"/>
  <c r="AM22" i="17"/>
  <c r="F22" i="1"/>
  <c r="AM19" i="17"/>
  <c r="F19" i="1"/>
  <c r="AM183" i="17"/>
  <c r="F183" i="1"/>
  <c r="AM180" i="17"/>
  <c r="F180" i="1"/>
  <c r="AM119" i="17"/>
  <c r="F119" i="1"/>
  <c r="AM167" i="17"/>
  <c r="F167" i="1"/>
  <c r="AM154" i="17"/>
  <c r="D155" i="17"/>
  <c r="AM145" i="17"/>
  <c r="F145" i="1"/>
  <c r="AM130" i="17"/>
  <c r="F130" i="1"/>
  <c r="AM126" i="17"/>
  <c r="F126" i="1"/>
  <c r="AM109" i="17"/>
  <c r="F109" i="1"/>
  <c r="AM85" i="17"/>
  <c r="F85" i="1"/>
  <c r="AM79" i="17"/>
  <c r="F79" i="1"/>
  <c r="AM62" i="17"/>
  <c r="F62" i="1"/>
  <c r="AM54" i="17"/>
  <c r="F54" i="1"/>
  <c r="AM45" i="17"/>
  <c r="F45" i="1"/>
  <c r="D49" i="17"/>
  <c r="AM41" i="17"/>
  <c r="F41" i="1"/>
  <c r="AM37" i="17"/>
  <c r="F37" i="1"/>
  <c r="AM33" i="17"/>
  <c r="F33" i="1"/>
  <c r="AM29" i="17"/>
  <c r="F29" i="1"/>
  <c r="AM25" i="17"/>
  <c r="F25" i="1"/>
  <c r="AM21" i="17"/>
  <c r="F21" i="1"/>
  <c r="AM18" i="17"/>
  <c r="F18" i="1"/>
  <c r="AM14" i="17"/>
  <c r="F14" i="1"/>
  <c r="D38" i="17"/>
  <c r="D175" i="17"/>
  <c r="F150" i="2"/>
  <c r="C150" i="2"/>
  <c r="D155" i="2"/>
  <c r="C133" i="2"/>
  <c r="D150" i="2"/>
  <c r="C38" i="2"/>
  <c r="F122" i="2"/>
  <c r="E84" i="2"/>
  <c r="E88" i="2"/>
  <c r="D141" i="2"/>
  <c r="F141" i="2"/>
  <c r="D66" i="2"/>
  <c r="C49" i="2"/>
  <c r="E158" i="2"/>
  <c r="E171" i="2"/>
  <c r="E188" i="2"/>
  <c r="F133" i="2"/>
  <c r="D122" i="2"/>
  <c r="D133" i="2"/>
  <c r="F171" i="2"/>
  <c r="C171" i="2"/>
  <c r="F66" i="2"/>
  <c r="G171" i="2"/>
  <c r="G188" i="2"/>
  <c r="J188" i="3"/>
  <c r="H125" i="8"/>
  <c r="H126" i="8"/>
  <c r="BO184" i="2"/>
  <c r="H114" i="8"/>
  <c r="H117" i="8"/>
  <c r="AZ184" i="21"/>
  <c r="AK184" i="17"/>
  <c r="BO185" i="2"/>
  <c r="AZ185" i="21"/>
  <c r="F99" i="2"/>
  <c r="BQ99" i="2"/>
  <c r="C99" i="1"/>
  <c r="G97" i="4"/>
  <c r="D158" i="17"/>
  <c r="G101" i="4"/>
  <c r="C96" i="5"/>
  <c r="C95" i="5"/>
  <c r="BK95" i="2"/>
  <c r="G98" i="4"/>
  <c r="D99" i="17"/>
  <c r="H55" i="12"/>
  <c r="J55" i="12"/>
  <c r="D158" i="2"/>
  <c r="H41" i="12"/>
  <c r="D20" i="12"/>
  <c r="D21" i="12"/>
  <c r="F19" i="12"/>
  <c r="H19" i="12"/>
  <c r="J19" i="12"/>
  <c r="F20" i="14"/>
  <c r="H20" i="14"/>
  <c r="D94" i="17"/>
  <c r="F121" i="14"/>
  <c r="F107" i="14"/>
  <c r="F108" i="14"/>
  <c r="F109" i="14"/>
  <c r="F110" i="14"/>
  <c r="F111" i="14"/>
  <c r="F112" i="14"/>
  <c r="F113" i="14"/>
  <c r="F114" i="14"/>
  <c r="F115" i="14"/>
  <c r="G96" i="4"/>
  <c r="D66" i="11"/>
  <c r="F4" i="14"/>
  <c r="H4" i="14"/>
  <c r="F53" i="15"/>
  <c r="D54" i="15"/>
  <c r="F20" i="12"/>
  <c r="F97" i="12"/>
  <c r="H97" i="12"/>
  <c r="J97" i="12"/>
  <c r="D98" i="12"/>
  <c r="F84" i="12"/>
  <c r="C98" i="5"/>
  <c r="D68" i="8"/>
  <c r="H68" i="8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4" i="15"/>
  <c r="H4" i="15"/>
  <c r="J4" i="15"/>
  <c r="L4" i="15"/>
  <c r="D84" i="2"/>
  <c r="B54" i="12"/>
  <c r="B80" i="12"/>
  <c r="B95" i="12"/>
  <c r="B115" i="12"/>
  <c r="B139" i="12"/>
  <c r="H141" i="12"/>
  <c r="J141" i="12"/>
  <c r="D93" i="2"/>
  <c r="D93" i="17"/>
  <c r="B23" i="15"/>
  <c r="B38" i="15"/>
  <c r="B52" i="15"/>
  <c r="F107" i="13"/>
  <c r="H107" i="13"/>
  <c r="D108" i="13"/>
  <c r="Q72" i="26"/>
  <c r="Q80" i="26"/>
  <c r="Q90" i="26"/>
  <c r="H82" i="12"/>
  <c r="J82" i="12"/>
  <c r="F5" i="14"/>
  <c r="H5" i="14"/>
  <c r="D26" i="15"/>
  <c r="F39" i="15"/>
  <c r="D40" i="15"/>
  <c r="D11" i="12"/>
  <c r="F5" i="12"/>
  <c r="F6" i="12"/>
  <c r="F7" i="12"/>
  <c r="F8" i="12"/>
  <c r="F9" i="12"/>
  <c r="F10" i="12"/>
  <c r="F11" i="12"/>
  <c r="F12" i="12"/>
  <c r="F13" i="12"/>
  <c r="D55" i="15"/>
  <c r="F54" i="15"/>
  <c r="H117" i="12"/>
  <c r="D22" i="14"/>
  <c r="F21" i="14"/>
  <c r="H21" i="14"/>
  <c r="D86" i="13"/>
  <c r="D87" i="13"/>
  <c r="F57" i="13"/>
  <c r="H57" i="13"/>
  <c r="J57" i="13"/>
  <c r="F84" i="2"/>
  <c r="F88" i="2"/>
  <c r="C101" i="5"/>
  <c r="F93" i="2"/>
  <c r="F94" i="2"/>
  <c r="B3" i="14"/>
  <c r="B18" i="14"/>
  <c r="B39" i="14"/>
  <c r="B79" i="14"/>
  <c r="B105" i="14"/>
  <c r="B119" i="14"/>
  <c r="B133" i="14"/>
  <c r="B158" i="14"/>
  <c r="B172" i="14"/>
  <c r="B186" i="14"/>
  <c r="B41" i="13"/>
  <c r="B56" i="13"/>
  <c r="B81" i="13"/>
  <c r="B105" i="13"/>
  <c r="B26" i="13"/>
  <c r="H91" i="13"/>
  <c r="H92" i="13"/>
  <c r="H93" i="13"/>
  <c r="H94" i="13"/>
  <c r="H95" i="13"/>
  <c r="H96" i="13"/>
  <c r="H97" i="13"/>
  <c r="H98" i="13"/>
  <c r="H99" i="13"/>
  <c r="H100" i="13"/>
  <c r="H32" i="13"/>
  <c r="H33" i="13"/>
  <c r="H34" i="13"/>
  <c r="H35" i="13"/>
  <c r="H36" i="13"/>
  <c r="O138" i="1"/>
  <c r="O54" i="1"/>
  <c r="O21" i="1"/>
  <c r="O100" i="1"/>
  <c r="O164" i="1"/>
  <c r="O130" i="1"/>
  <c r="O56" i="1"/>
  <c r="O16" i="1"/>
  <c r="O65" i="1"/>
  <c r="C18" i="1"/>
  <c r="O18" i="1"/>
  <c r="BT18" i="2"/>
  <c r="O182" i="1"/>
  <c r="C13" i="1"/>
  <c r="O13" i="1"/>
  <c r="BT13" i="2"/>
  <c r="O47" i="1"/>
  <c r="O144" i="1"/>
  <c r="O125" i="1"/>
  <c r="C108" i="1"/>
  <c r="O108" i="1"/>
  <c r="BT108" i="2"/>
  <c r="O176" i="1"/>
  <c r="O167" i="1"/>
  <c r="O31" i="1"/>
  <c r="O62" i="1"/>
  <c r="O27" i="1"/>
  <c r="O17" i="1"/>
  <c r="O59" i="1"/>
  <c r="C111" i="1"/>
  <c r="O111" i="1"/>
  <c r="BT111" i="2"/>
  <c r="C114" i="1"/>
  <c r="O114" i="1"/>
  <c r="BT114" i="2"/>
  <c r="O53" i="1"/>
  <c r="C116" i="1"/>
  <c r="O116" i="1"/>
  <c r="BT116" i="2"/>
  <c r="O118" i="1"/>
  <c r="C165" i="1"/>
  <c r="O165" i="1"/>
  <c r="BT165" i="2"/>
  <c r="C109" i="1"/>
  <c r="O109" i="1"/>
  <c r="BT109" i="2"/>
  <c r="C87" i="1"/>
  <c r="O87" i="1"/>
  <c r="BT87" i="2"/>
  <c r="C115" i="1"/>
  <c r="O115" i="1"/>
  <c r="BT115" i="2"/>
  <c r="C166" i="1"/>
  <c r="O166" i="1"/>
  <c r="BT166" i="2"/>
  <c r="C85" i="1"/>
  <c r="O85" i="1"/>
  <c r="BT85" i="2"/>
  <c r="C42" i="1"/>
  <c r="O42" i="1"/>
  <c r="BT42" i="2"/>
  <c r="BT49" i="2"/>
  <c r="C169" i="1"/>
  <c r="O169" i="1"/>
  <c r="BT169" i="2"/>
  <c r="C79" i="1"/>
  <c r="O79" i="1"/>
  <c r="BT79" i="2"/>
  <c r="O22" i="1"/>
  <c r="O146" i="1"/>
  <c r="O145" i="1"/>
  <c r="O24" i="1"/>
  <c r="O44" i="1"/>
  <c r="O25" i="1"/>
  <c r="O41" i="1"/>
  <c r="O36" i="1"/>
  <c r="O177" i="1"/>
  <c r="O168" i="1"/>
  <c r="O148" i="1"/>
  <c r="O29" i="1"/>
  <c r="O63" i="1"/>
  <c r="O37" i="1"/>
  <c r="O140" i="1"/>
  <c r="O126" i="1"/>
  <c r="O64" i="1"/>
  <c r="O33" i="1"/>
  <c r="O15" i="1"/>
  <c r="O129" i="1"/>
  <c r="O112" i="1"/>
  <c r="O57" i="1"/>
  <c r="O48" i="1"/>
  <c r="O181" i="1"/>
  <c r="O55" i="1"/>
  <c r="O35" i="1"/>
  <c r="O180" i="1"/>
  <c r="O170" i="1"/>
  <c r="O28" i="1"/>
  <c r="O128" i="1"/>
  <c r="O60" i="1"/>
  <c r="O20" i="1"/>
  <c r="O14" i="1"/>
  <c r="O45" i="1"/>
  <c r="O183" i="1"/>
  <c r="O119" i="1"/>
  <c r="O34" i="1"/>
  <c r="O46" i="1"/>
  <c r="O30" i="1"/>
  <c r="O43" i="1"/>
  <c r="O23" i="1"/>
  <c r="O19" i="1"/>
  <c r="O127" i="1"/>
  <c r="O110" i="1"/>
  <c r="O26" i="1"/>
  <c r="O178" i="1"/>
  <c r="O147" i="1"/>
  <c r="AK185" i="17"/>
  <c r="AL73" i="21"/>
  <c r="AL80" i="21"/>
  <c r="AA73" i="21"/>
  <c r="AM73" i="21"/>
  <c r="AM80" i="21"/>
  <c r="AH73" i="21"/>
  <c r="AH80" i="21"/>
  <c r="U74" i="21"/>
  <c r="U80" i="21"/>
  <c r="L74" i="21"/>
  <c r="R74" i="21"/>
  <c r="R80" i="21"/>
  <c r="V74" i="21"/>
  <c r="K74" i="21"/>
  <c r="S74" i="21"/>
  <c r="S80" i="21"/>
  <c r="M74" i="21"/>
  <c r="I74" i="17"/>
  <c r="AE73" i="21"/>
  <c r="K83" i="23"/>
  <c r="I84" i="23"/>
  <c r="AJ73" i="21"/>
  <c r="AJ80" i="21"/>
  <c r="AN73" i="21"/>
  <c r="AN80" i="21"/>
  <c r="Y73" i="21"/>
  <c r="I33" i="23"/>
  <c r="K52" i="23"/>
  <c r="I35" i="23"/>
  <c r="H122" i="8"/>
  <c r="H133" i="8"/>
  <c r="F101" i="5"/>
  <c r="BK101" i="2"/>
  <c r="F96" i="5"/>
  <c r="BK96" i="2"/>
  <c r="F98" i="5"/>
  <c r="BK98" i="2"/>
  <c r="H42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E72" i="7"/>
  <c r="L72" i="26"/>
  <c r="L80" i="26"/>
  <c r="L90" i="26"/>
  <c r="BB184" i="21"/>
  <c r="I184" i="1"/>
  <c r="AM184" i="17"/>
  <c r="F184" i="1"/>
  <c r="H56" i="12"/>
  <c r="J56" i="12"/>
  <c r="K80" i="23"/>
  <c r="D12" i="12"/>
  <c r="H84" i="12"/>
  <c r="C175" i="2"/>
  <c r="C186" i="2"/>
  <c r="F28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L155" i="1"/>
  <c r="D108" i="14"/>
  <c r="F134" i="14"/>
  <c r="D159" i="14"/>
  <c r="H106" i="14"/>
  <c r="F135" i="14"/>
  <c r="AY97" i="2"/>
  <c r="Y74" i="21"/>
  <c r="X74" i="21"/>
  <c r="AA74" i="21"/>
  <c r="AE80" i="21"/>
  <c r="AG80" i="21"/>
  <c r="AI80" i="21"/>
  <c r="AD80" i="21"/>
  <c r="AB80" i="21"/>
  <c r="Z80" i="21"/>
  <c r="AC80" i="21"/>
  <c r="J73" i="21"/>
  <c r="C133" i="1"/>
  <c r="G95" i="4"/>
  <c r="G102" i="4"/>
  <c r="G104" i="4"/>
  <c r="C102" i="4"/>
  <c r="C104" i="4"/>
  <c r="BJ192" i="2"/>
  <c r="BJ190" i="2"/>
  <c r="AV122" i="21"/>
  <c r="AV188" i="21"/>
  <c r="AV190" i="21"/>
  <c r="AV192" i="21"/>
  <c r="BB121" i="21"/>
  <c r="BQ121" i="2"/>
  <c r="C121" i="1"/>
  <c r="C150" i="1"/>
  <c r="BQ155" i="2"/>
  <c r="C154" i="1"/>
  <c r="C102" i="5"/>
  <c r="C104" i="5"/>
  <c r="F95" i="5"/>
  <c r="BQ141" i="2"/>
  <c r="C137" i="1"/>
  <c r="O137" i="1"/>
  <c r="AM155" i="17"/>
  <c r="F154" i="1"/>
  <c r="F122" i="1"/>
  <c r="F141" i="1"/>
  <c r="F133" i="1"/>
  <c r="F150" i="1"/>
  <c r="I158" i="7"/>
  <c r="BQ150" i="2"/>
  <c r="BQ158" i="2"/>
  <c r="BQ49" i="2"/>
  <c r="BQ38" i="2"/>
  <c r="BQ133" i="2"/>
  <c r="BQ84" i="2"/>
  <c r="BT84" i="2"/>
  <c r="BQ93" i="2"/>
  <c r="C93" i="1"/>
  <c r="BB185" i="21"/>
  <c r="I185" i="1"/>
  <c r="AM185" i="17"/>
  <c r="F185" i="1"/>
  <c r="BQ94" i="2"/>
  <c r="C94" i="1"/>
  <c r="D88" i="17"/>
  <c r="AM84" i="17"/>
  <c r="D68" i="17"/>
  <c r="AM93" i="17"/>
  <c r="F93" i="1"/>
  <c r="AM49" i="17"/>
  <c r="AM133" i="17"/>
  <c r="AM150" i="17"/>
  <c r="AM94" i="17"/>
  <c r="F94" i="1"/>
  <c r="AM99" i="17"/>
  <c r="F99" i="1"/>
  <c r="O99" i="1"/>
  <c r="D171" i="17"/>
  <c r="AM158" i="17"/>
  <c r="AM122" i="17"/>
  <c r="AM38" i="17"/>
  <c r="AM141" i="17"/>
  <c r="C68" i="2"/>
  <c r="BQ185" i="2"/>
  <c r="C185" i="1"/>
  <c r="D88" i="2"/>
  <c r="F68" i="2"/>
  <c r="F184" i="2"/>
  <c r="D171" i="2"/>
  <c r="D68" i="2"/>
  <c r="D184" i="2"/>
  <c r="G188" i="3"/>
  <c r="M188" i="3"/>
  <c r="L49" i="1"/>
  <c r="F38" i="1"/>
  <c r="AS97" i="2"/>
  <c r="AY101" i="2"/>
  <c r="D68" i="11"/>
  <c r="H68" i="11"/>
  <c r="L88" i="1"/>
  <c r="F85" i="12"/>
  <c r="H85" i="12"/>
  <c r="J85" i="12"/>
  <c r="F122" i="14"/>
  <c r="H121" i="14"/>
  <c r="F174" i="14"/>
  <c r="H174" i="14"/>
  <c r="J174" i="14"/>
  <c r="D99" i="12"/>
  <c r="F98" i="12"/>
  <c r="H98" i="12"/>
  <c r="J98" i="12"/>
  <c r="F21" i="12"/>
  <c r="H20" i="12"/>
  <c r="J20" i="12"/>
  <c r="F5" i="15"/>
  <c r="H5" i="15"/>
  <c r="J5" i="15"/>
  <c r="L5" i="15"/>
  <c r="D23" i="14"/>
  <c r="I86" i="23"/>
  <c r="F22" i="14"/>
  <c r="H22" i="14"/>
  <c r="AY98" i="2"/>
  <c r="F43" i="13"/>
  <c r="D109" i="13"/>
  <c r="F108" i="13"/>
  <c r="H108" i="13"/>
  <c r="AY96" i="2"/>
  <c r="AS96" i="2"/>
  <c r="AS95" i="2"/>
  <c r="AS101" i="2"/>
  <c r="AS98" i="2"/>
  <c r="H43" i="12"/>
  <c r="D56" i="15"/>
  <c r="F55" i="15"/>
  <c r="D41" i="15"/>
  <c r="F40" i="15"/>
  <c r="F6" i="14"/>
  <c r="H6" i="14"/>
  <c r="AY95" i="2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F5" i="13"/>
  <c r="F6" i="13"/>
  <c r="F7" i="13"/>
  <c r="F8" i="13"/>
  <c r="F9" i="13"/>
  <c r="F58" i="13"/>
  <c r="H58" i="13"/>
  <c r="J58" i="13"/>
  <c r="H118" i="12"/>
  <c r="H142" i="12"/>
  <c r="J142" i="12"/>
  <c r="F26" i="15"/>
  <c r="D27" i="15"/>
  <c r="BT88" i="2"/>
  <c r="BT122" i="2"/>
  <c r="O93" i="1"/>
  <c r="BT171" i="2"/>
  <c r="BT38" i="2"/>
  <c r="BT68" i="2"/>
  <c r="O154" i="1"/>
  <c r="O155" i="1"/>
  <c r="O94" i="1"/>
  <c r="BK102" i="2"/>
  <c r="BK104" i="2"/>
  <c r="BK192" i="2"/>
  <c r="Z73" i="2"/>
  <c r="K35" i="23"/>
  <c r="AM101" i="21"/>
  <c r="AM97" i="21"/>
  <c r="AM95" i="21"/>
  <c r="AM90" i="21"/>
  <c r="AM98" i="21"/>
  <c r="AM96" i="21"/>
  <c r="D109" i="14"/>
  <c r="D110" i="14"/>
  <c r="D111" i="14"/>
  <c r="D112" i="14"/>
  <c r="D113" i="14"/>
  <c r="D114" i="14"/>
  <c r="D115" i="14"/>
  <c r="I22" i="23"/>
  <c r="AN95" i="21"/>
  <c r="AN101" i="21"/>
  <c r="AN90" i="21"/>
  <c r="AN98" i="21"/>
  <c r="AN96" i="21"/>
  <c r="AN97" i="21"/>
  <c r="U98" i="21"/>
  <c r="U96" i="21"/>
  <c r="U101" i="21"/>
  <c r="U90" i="21"/>
  <c r="U97" i="21"/>
  <c r="U95" i="21"/>
  <c r="Q80" i="17"/>
  <c r="I46" i="23"/>
  <c r="I90" i="23"/>
  <c r="I25" i="23"/>
  <c r="K25" i="23"/>
  <c r="I88" i="23"/>
  <c r="I18" i="23"/>
  <c r="I82" i="23"/>
  <c r="I87" i="23"/>
  <c r="Y80" i="21"/>
  <c r="Y101" i="21"/>
  <c r="V73" i="2"/>
  <c r="K33" i="23"/>
  <c r="AJ96" i="21"/>
  <c r="AJ97" i="21"/>
  <c r="AJ95" i="21"/>
  <c r="AJ90" i="21"/>
  <c r="AJ101" i="21"/>
  <c r="AJ98" i="21"/>
  <c r="AL96" i="21"/>
  <c r="AL98" i="21"/>
  <c r="AL101" i="21"/>
  <c r="AL90" i="21"/>
  <c r="AL97" i="21"/>
  <c r="AL95" i="21"/>
  <c r="H72" i="21"/>
  <c r="K86" i="23"/>
  <c r="W73" i="21"/>
  <c r="W80" i="21"/>
  <c r="W97" i="21"/>
  <c r="P74" i="21"/>
  <c r="P80" i="21"/>
  <c r="T74" i="21"/>
  <c r="T80" i="21"/>
  <c r="O74" i="21"/>
  <c r="Q74" i="21"/>
  <c r="G77" i="2"/>
  <c r="K54" i="23"/>
  <c r="F177" i="14"/>
  <c r="AF73" i="21"/>
  <c r="AF80" i="21"/>
  <c r="AF101" i="21"/>
  <c r="K84" i="23"/>
  <c r="AH90" i="21"/>
  <c r="AH97" i="21"/>
  <c r="AH96" i="21"/>
  <c r="AH95" i="21"/>
  <c r="AH98" i="21"/>
  <c r="AH101" i="21"/>
  <c r="F102" i="5"/>
  <c r="F104" i="5"/>
  <c r="F192" i="5"/>
  <c r="X80" i="21"/>
  <c r="X90" i="21"/>
  <c r="D47" i="12"/>
  <c r="D48" i="12"/>
  <c r="D49" i="12"/>
  <c r="D50" i="12"/>
  <c r="D86" i="12"/>
  <c r="D87" i="12"/>
  <c r="D88" i="12"/>
  <c r="D89" i="12"/>
  <c r="D90" i="12"/>
  <c r="D13" i="12"/>
  <c r="I78" i="23"/>
  <c r="K78" i="23"/>
  <c r="BQ58" i="2"/>
  <c r="BQ184" i="2"/>
  <c r="C184" i="1"/>
  <c r="F186" i="2"/>
  <c r="F188" i="2"/>
  <c r="E80" i="7"/>
  <c r="E101" i="7"/>
  <c r="L101" i="26"/>
  <c r="Q101" i="26"/>
  <c r="Q95" i="26"/>
  <c r="Q98" i="26"/>
  <c r="Q97" i="26"/>
  <c r="Q96" i="26"/>
  <c r="K77" i="23"/>
  <c r="E95" i="7"/>
  <c r="L95" i="26"/>
  <c r="E98" i="7"/>
  <c r="L98" i="26"/>
  <c r="F80" i="7"/>
  <c r="F86" i="12"/>
  <c r="J84" i="12"/>
  <c r="BO66" i="2"/>
  <c r="BO68" i="2"/>
  <c r="O133" i="1"/>
  <c r="O150" i="1"/>
  <c r="AK66" i="17"/>
  <c r="AK68" i="17"/>
  <c r="AM58" i="17"/>
  <c r="F58" i="1"/>
  <c r="C122" i="1"/>
  <c r="O49" i="1"/>
  <c r="C155" i="1"/>
  <c r="C141" i="1"/>
  <c r="O141" i="1"/>
  <c r="I186" i="1"/>
  <c r="BQ122" i="2"/>
  <c r="D30" i="13"/>
  <c r="F30" i="13"/>
  <c r="F29" i="13"/>
  <c r="AY80" i="21"/>
  <c r="BB78" i="21"/>
  <c r="I78" i="1"/>
  <c r="AJ80" i="17"/>
  <c r="AJ90" i="17"/>
  <c r="AM78" i="17"/>
  <c r="F78" i="1"/>
  <c r="G80" i="7"/>
  <c r="E97" i="11"/>
  <c r="AJ97" i="17"/>
  <c r="E96" i="11"/>
  <c r="AJ96" i="17"/>
  <c r="E98" i="11"/>
  <c r="AJ98" i="17"/>
  <c r="E101" i="11"/>
  <c r="AJ101" i="17"/>
  <c r="E95" i="11"/>
  <c r="AJ95" i="17"/>
  <c r="H78" i="11"/>
  <c r="AK80" i="2"/>
  <c r="D160" i="14"/>
  <c r="D161" i="14"/>
  <c r="D162" i="14"/>
  <c r="D163" i="14"/>
  <c r="D164" i="14"/>
  <c r="D165" i="14"/>
  <c r="D166" i="14"/>
  <c r="D167" i="14"/>
  <c r="D168" i="14"/>
  <c r="F159" i="14"/>
  <c r="V80" i="21"/>
  <c r="V95" i="21"/>
  <c r="H134" i="14"/>
  <c r="AK73" i="21"/>
  <c r="AK80" i="21"/>
  <c r="AA80" i="21"/>
  <c r="AA98" i="21"/>
  <c r="M80" i="21"/>
  <c r="M90" i="21"/>
  <c r="AD80" i="17"/>
  <c r="AY102" i="2"/>
  <c r="AY104" i="2"/>
  <c r="AY190" i="2"/>
  <c r="AY192" i="2"/>
  <c r="K80" i="21"/>
  <c r="K96" i="21"/>
  <c r="L80" i="21"/>
  <c r="L90" i="21"/>
  <c r="J106" i="14"/>
  <c r="J107" i="14"/>
  <c r="J108" i="14"/>
  <c r="J109" i="14"/>
  <c r="J110" i="14"/>
  <c r="J111" i="14"/>
  <c r="J112" i="14"/>
  <c r="J113" i="14"/>
  <c r="J114" i="14"/>
  <c r="J115" i="14"/>
  <c r="H107" i="14"/>
  <c r="H108" i="14"/>
  <c r="H109" i="14"/>
  <c r="H110" i="14"/>
  <c r="H111" i="14"/>
  <c r="H112" i="14"/>
  <c r="H113" i="14"/>
  <c r="H114" i="14"/>
  <c r="H115" i="14"/>
  <c r="D73" i="21"/>
  <c r="S90" i="21"/>
  <c r="S98" i="21"/>
  <c r="S96" i="21"/>
  <c r="S97" i="21"/>
  <c r="S95" i="21"/>
  <c r="S101" i="21"/>
  <c r="AB90" i="21"/>
  <c r="AB97" i="21"/>
  <c r="AB101" i="21"/>
  <c r="AB98" i="21"/>
  <c r="AB96" i="21"/>
  <c r="AB95" i="21"/>
  <c r="AF90" i="21"/>
  <c r="AF95" i="21"/>
  <c r="AF96" i="21"/>
  <c r="AF98" i="21"/>
  <c r="O80" i="21"/>
  <c r="R101" i="21"/>
  <c r="R98" i="21"/>
  <c r="R97" i="21"/>
  <c r="R96" i="21"/>
  <c r="R90" i="21"/>
  <c r="R95" i="21"/>
  <c r="Y90" i="21"/>
  <c r="Y96" i="21"/>
  <c r="Y95" i="21"/>
  <c r="Y98" i="21"/>
  <c r="W98" i="21"/>
  <c r="AE90" i="21"/>
  <c r="AE101" i="21"/>
  <c r="AE97" i="21"/>
  <c r="AE98" i="21"/>
  <c r="AE96" i="21"/>
  <c r="AE95" i="21"/>
  <c r="BB80" i="2"/>
  <c r="BB96" i="2"/>
  <c r="AV80" i="2"/>
  <c r="AV98" i="2"/>
  <c r="Z90" i="21"/>
  <c r="Z101" i="21"/>
  <c r="Z96" i="21"/>
  <c r="Z95" i="21"/>
  <c r="Z98" i="21"/>
  <c r="Z97" i="21"/>
  <c r="AD90" i="21"/>
  <c r="AD98" i="21"/>
  <c r="AD97" i="21"/>
  <c r="AD96" i="21"/>
  <c r="AD101" i="21"/>
  <c r="AD95" i="21"/>
  <c r="AI90" i="21"/>
  <c r="AI96" i="21"/>
  <c r="AI101" i="21"/>
  <c r="AI98" i="21"/>
  <c r="AI95" i="21"/>
  <c r="AI97" i="21"/>
  <c r="AS102" i="2"/>
  <c r="AS104" i="2"/>
  <c r="AS190" i="2"/>
  <c r="AS192" i="2"/>
  <c r="AC90" i="21"/>
  <c r="AC97" i="21"/>
  <c r="AC96" i="21"/>
  <c r="AC101" i="21"/>
  <c r="AC95" i="21"/>
  <c r="AC98" i="21"/>
  <c r="AG90" i="21"/>
  <c r="AG101" i="21"/>
  <c r="AG98" i="21"/>
  <c r="AG95" i="21"/>
  <c r="AG97" i="21"/>
  <c r="AG96" i="21"/>
  <c r="I121" i="1"/>
  <c r="O121" i="1"/>
  <c r="BB122" i="21"/>
  <c r="G190" i="4"/>
  <c r="G192" i="4"/>
  <c r="BQ88" i="2"/>
  <c r="C84" i="1"/>
  <c r="F190" i="5"/>
  <c r="BQ171" i="2"/>
  <c r="C158" i="1"/>
  <c r="AM88" i="17"/>
  <c r="F84" i="1"/>
  <c r="AM171" i="17"/>
  <c r="F158" i="1"/>
  <c r="F155" i="1"/>
  <c r="I171" i="7"/>
  <c r="I189" i="7"/>
  <c r="BB186" i="21"/>
  <c r="F49" i="1"/>
  <c r="AK186" i="17"/>
  <c r="AK188" i="17"/>
  <c r="BO186" i="2"/>
  <c r="AZ186" i="21"/>
  <c r="AZ188" i="21"/>
  <c r="D186" i="2"/>
  <c r="D188" i="2"/>
  <c r="BQ175" i="2"/>
  <c r="AM175" i="17"/>
  <c r="F175" i="1"/>
  <c r="D186" i="17"/>
  <c r="D188" i="17"/>
  <c r="C49" i="1"/>
  <c r="F123" i="14"/>
  <c r="H122" i="14"/>
  <c r="J121" i="14"/>
  <c r="L120" i="14"/>
  <c r="AP80" i="2"/>
  <c r="AP90" i="2"/>
  <c r="F175" i="14"/>
  <c r="H175" i="14"/>
  <c r="J175" i="14"/>
  <c r="F22" i="12"/>
  <c r="H21" i="12"/>
  <c r="J21" i="12"/>
  <c r="H57" i="12"/>
  <c r="J57" i="12"/>
  <c r="F6" i="15"/>
  <c r="H6" i="15"/>
  <c r="J6" i="15"/>
  <c r="L6" i="15"/>
  <c r="D100" i="12"/>
  <c r="F99" i="12"/>
  <c r="H99" i="12"/>
  <c r="J99" i="12"/>
  <c r="D57" i="15"/>
  <c r="F56" i="15"/>
  <c r="F7" i="14"/>
  <c r="H7" i="14"/>
  <c r="D70" i="14"/>
  <c r="F23" i="14"/>
  <c r="H23" i="14"/>
  <c r="D24" i="14"/>
  <c r="F136" i="14"/>
  <c r="F41" i="15"/>
  <c r="D42" i="15"/>
  <c r="H44" i="12"/>
  <c r="D110" i="13"/>
  <c r="F109" i="13"/>
  <c r="H109" i="13"/>
  <c r="F44" i="13"/>
  <c r="D45" i="13"/>
  <c r="D28" i="15"/>
  <c r="F27" i="15"/>
  <c r="H143" i="12"/>
  <c r="J143" i="12"/>
  <c r="H119" i="12"/>
  <c r="F59" i="13"/>
  <c r="H59" i="13"/>
  <c r="J59" i="13"/>
  <c r="F10" i="13"/>
  <c r="C38" i="1"/>
  <c r="BK190" i="2"/>
  <c r="C32" i="26"/>
  <c r="BT175" i="2"/>
  <c r="BT186" i="2"/>
  <c r="BT188" i="2"/>
  <c r="O158" i="1"/>
  <c r="E74" i="21"/>
  <c r="AJ102" i="21"/>
  <c r="O84" i="1"/>
  <c r="O88" i="1"/>
  <c r="AM102" i="21"/>
  <c r="AL102" i="21"/>
  <c r="AL104" i="21"/>
  <c r="AL192" i="21"/>
  <c r="Q102" i="26"/>
  <c r="Q104" i="26"/>
  <c r="Q192" i="26"/>
  <c r="K70" i="23"/>
  <c r="M76" i="26"/>
  <c r="BM76" i="2"/>
  <c r="BM80" i="2"/>
  <c r="BM90" i="2"/>
  <c r="K21" i="23"/>
  <c r="J74" i="21"/>
  <c r="K82" i="23"/>
  <c r="S73" i="2"/>
  <c r="K46" i="23"/>
  <c r="I37" i="23"/>
  <c r="I9" i="23"/>
  <c r="I32" i="23"/>
  <c r="I43" i="23"/>
  <c r="W95" i="21"/>
  <c r="W101" i="21"/>
  <c r="T90" i="21"/>
  <c r="T97" i="21"/>
  <c r="T101" i="21"/>
  <c r="T95" i="21"/>
  <c r="T96" i="21"/>
  <c r="T98" i="21"/>
  <c r="AJ104" i="21"/>
  <c r="AJ192" i="21"/>
  <c r="K18" i="23"/>
  <c r="AM104" i="21"/>
  <c r="AM192" i="21"/>
  <c r="H73" i="21"/>
  <c r="I36" i="23"/>
  <c r="I55" i="23"/>
  <c r="I31" i="23"/>
  <c r="H135" i="14"/>
  <c r="H75" i="3"/>
  <c r="I75" i="3"/>
  <c r="I80" i="3"/>
  <c r="X96" i="21"/>
  <c r="W96" i="21"/>
  <c r="W90" i="21"/>
  <c r="AF97" i="21"/>
  <c r="AK96" i="21"/>
  <c r="F96" i="21"/>
  <c r="AK90" i="21"/>
  <c r="AK101" i="21"/>
  <c r="AK97" i="21"/>
  <c r="AK95" i="21"/>
  <c r="AK98" i="21"/>
  <c r="F98" i="21"/>
  <c r="P90" i="21"/>
  <c r="P95" i="21"/>
  <c r="P97" i="21"/>
  <c r="P96" i="21"/>
  <c r="P101" i="21"/>
  <c r="P98" i="21"/>
  <c r="T80" i="17"/>
  <c r="K88" i="23"/>
  <c r="Q95" i="17"/>
  <c r="Q96" i="17"/>
  <c r="Q97" i="17"/>
  <c r="Q101" i="17"/>
  <c r="Q98" i="17"/>
  <c r="Q90" i="17"/>
  <c r="I26" i="23"/>
  <c r="I47" i="23"/>
  <c r="AN102" i="21"/>
  <c r="AN104" i="21"/>
  <c r="AN192" i="21"/>
  <c r="I13" i="23"/>
  <c r="K13" i="23"/>
  <c r="I12" i="23"/>
  <c r="I23" i="23"/>
  <c r="K23" i="23"/>
  <c r="F73" i="21"/>
  <c r="F80" i="21"/>
  <c r="F90" i="21"/>
  <c r="Y97" i="21"/>
  <c r="Y102" i="21"/>
  <c r="Y104" i="21"/>
  <c r="Y192" i="21"/>
  <c r="AZ80" i="2"/>
  <c r="AZ90" i="2"/>
  <c r="AH102" i="21"/>
  <c r="AH104" i="21"/>
  <c r="AH192" i="21"/>
  <c r="K87" i="23"/>
  <c r="J73" i="17"/>
  <c r="K90" i="23"/>
  <c r="AL80" i="2"/>
  <c r="AL95" i="2"/>
  <c r="K30" i="23"/>
  <c r="U102" i="21"/>
  <c r="U104" i="21"/>
  <c r="U192" i="21"/>
  <c r="M73" i="3"/>
  <c r="K22" i="23"/>
  <c r="AA90" i="21"/>
  <c r="X95" i="21"/>
  <c r="K95" i="21"/>
  <c r="X97" i="21"/>
  <c r="X98" i="21"/>
  <c r="X101" i="21"/>
  <c r="K90" i="21"/>
  <c r="K97" i="21"/>
  <c r="I76" i="7"/>
  <c r="AK76" i="17"/>
  <c r="E102" i="11"/>
  <c r="E104" i="11"/>
  <c r="E191" i="11"/>
  <c r="O122" i="1"/>
  <c r="E97" i="7"/>
  <c r="L97" i="26"/>
  <c r="E96" i="7"/>
  <c r="L96" i="26"/>
  <c r="E90" i="7"/>
  <c r="F87" i="12"/>
  <c r="D193" i="22"/>
  <c r="H86" i="12"/>
  <c r="J86" i="12"/>
  <c r="BO76" i="2"/>
  <c r="F90" i="7"/>
  <c r="F97" i="7"/>
  <c r="F98" i="7"/>
  <c r="F95" i="7"/>
  <c r="F101" i="7"/>
  <c r="F96" i="7"/>
  <c r="D31" i="13"/>
  <c r="F11" i="13"/>
  <c r="F12" i="13"/>
  <c r="F13" i="13"/>
  <c r="F14" i="13"/>
  <c r="F15" i="13"/>
  <c r="F16" i="13"/>
  <c r="F17" i="13"/>
  <c r="F18" i="13"/>
  <c r="F19" i="13"/>
  <c r="F20" i="13"/>
  <c r="F21" i="13"/>
  <c r="I74" i="23"/>
  <c r="K74" i="23"/>
  <c r="BB95" i="2"/>
  <c r="BB98" i="2"/>
  <c r="C58" i="1"/>
  <c r="BQ66" i="2"/>
  <c r="BQ68" i="2"/>
  <c r="AA96" i="21"/>
  <c r="C171" i="1"/>
  <c r="K98" i="21"/>
  <c r="AA95" i="21"/>
  <c r="L101" i="21"/>
  <c r="K101" i="21"/>
  <c r="V98" i="21"/>
  <c r="M97" i="21"/>
  <c r="AA97" i="21"/>
  <c r="M95" i="21"/>
  <c r="M101" i="21"/>
  <c r="V90" i="21"/>
  <c r="AA101" i="21"/>
  <c r="V97" i="21"/>
  <c r="L95" i="21"/>
  <c r="L98" i="21"/>
  <c r="L97" i="21"/>
  <c r="Z102" i="21"/>
  <c r="Z104" i="21"/>
  <c r="Z192" i="21"/>
  <c r="AD102" i="21"/>
  <c r="AD104" i="21"/>
  <c r="AD192" i="21"/>
  <c r="AY90" i="21"/>
  <c r="BB77" i="21"/>
  <c r="I77" i="1"/>
  <c r="BN80" i="2"/>
  <c r="BQ78" i="2"/>
  <c r="G90" i="7"/>
  <c r="G96" i="7"/>
  <c r="N96" i="26"/>
  <c r="G101" i="7"/>
  <c r="N101" i="26"/>
  <c r="G95" i="7"/>
  <c r="N95" i="26"/>
  <c r="G97" i="7"/>
  <c r="N97" i="26"/>
  <c r="G98" i="7"/>
  <c r="N98" i="26"/>
  <c r="BB188" i="21"/>
  <c r="AK90" i="2"/>
  <c r="AK98" i="2"/>
  <c r="AK101" i="2"/>
  <c r="AK97" i="2"/>
  <c r="AK96" i="2"/>
  <c r="AK95" i="2"/>
  <c r="D71" i="14"/>
  <c r="D72" i="14"/>
  <c r="D73" i="14"/>
  <c r="D74" i="14"/>
  <c r="M98" i="21"/>
  <c r="M96" i="21"/>
  <c r="V96" i="21"/>
  <c r="AB102" i="21"/>
  <c r="AB104" i="21"/>
  <c r="AB192" i="21"/>
  <c r="AD90" i="17"/>
  <c r="AP97" i="2"/>
  <c r="V101" i="21"/>
  <c r="AE102" i="21"/>
  <c r="AE104" i="21"/>
  <c r="AE192" i="21"/>
  <c r="R102" i="21"/>
  <c r="R104" i="21"/>
  <c r="R192" i="21"/>
  <c r="L96" i="21"/>
  <c r="F160" i="14"/>
  <c r="H159" i="14"/>
  <c r="J159" i="14"/>
  <c r="G80" i="21"/>
  <c r="V80" i="2"/>
  <c r="AV90" i="2"/>
  <c r="AV97" i="2"/>
  <c r="O90" i="21"/>
  <c r="O101" i="21"/>
  <c r="O98" i="21"/>
  <c r="O96" i="21"/>
  <c r="O97" i="21"/>
  <c r="O95" i="21"/>
  <c r="AV101" i="2"/>
  <c r="F97" i="21"/>
  <c r="F101" i="21"/>
  <c r="AV95" i="2"/>
  <c r="AC102" i="21"/>
  <c r="AC104" i="21"/>
  <c r="AC192" i="21"/>
  <c r="BB90" i="2"/>
  <c r="BB97" i="2"/>
  <c r="AF102" i="21"/>
  <c r="AF104" i="21"/>
  <c r="AF192" i="21"/>
  <c r="AV96" i="2"/>
  <c r="R80" i="17"/>
  <c r="W80" i="17"/>
  <c r="P80" i="17"/>
  <c r="V80" i="17"/>
  <c r="S80" i="17"/>
  <c r="O80" i="17"/>
  <c r="I80" i="17"/>
  <c r="I90" i="17"/>
  <c r="M80" i="17"/>
  <c r="BB101" i="2"/>
  <c r="AG102" i="21"/>
  <c r="AG104" i="21"/>
  <c r="AG192" i="21"/>
  <c r="AI102" i="21"/>
  <c r="AI104" i="21"/>
  <c r="AI192" i="21"/>
  <c r="S102" i="21"/>
  <c r="S104" i="21"/>
  <c r="S192" i="21"/>
  <c r="I122" i="1"/>
  <c r="I188" i="1"/>
  <c r="L171" i="1"/>
  <c r="F171" i="1"/>
  <c r="BQ186" i="2"/>
  <c r="BQ188" i="2"/>
  <c r="C175" i="1"/>
  <c r="O175" i="1"/>
  <c r="F186" i="1"/>
  <c r="AM186" i="17"/>
  <c r="AM188" i="17"/>
  <c r="F88" i="1"/>
  <c r="AZ101" i="2"/>
  <c r="AP96" i="2"/>
  <c r="AP95" i="2"/>
  <c r="AP101" i="2"/>
  <c r="AP98" i="2"/>
  <c r="F176" i="14"/>
  <c r="H176" i="14"/>
  <c r="J176" i="14"/>
  <c r="F124" i="14"/>
  <c r="H123" i="14"/>
  <c r="J122" i="14"/>
  <c r="L121" i="14"/>
  <c r="F23" i="12"/>
  <c r="H22" i="12"/>
  <c r="J22" i="12"/>
  <c r="F7" i="15"/>
  <c r="H7" i="15"/>
  <c r="J7" i="15"/>
  <c r="L7" i="15"/>
  <c r="H58" i="12"/>
  <c r="J58" i="12"/>
  <c r="F100" i="12"/>
  <c r="H100" i="12"/>
  <c r="J100" i="12"/>
  <c r="D101" i="12"/>
  <c r="F137" i="14"/>
  <c r="F28" i="15"/>
  <c r="D29" i="15"/>
  <c r="D46" i="13"/>
  <c r="F45" i="13"/>
  <c r="F8" i="14"/>
  <c r="H8" i="14"/>
  <c r="H144" i="12"/>
  <c r="J144" i="12"/>
  <c r="D111" i="13"/>
  <c r="F110" i="13"/>
  <c r="H110" i="13"/>
  <c r="C88" i="1"/>
  <c r="F24" i="14"/>
  <c r="H24" i="14"/>
  <c r="D25" i="14"/>
  <c r="P72" i="3"/>
  <c r="E72" i="26"/>
  <c r="E80" i="26"/>
  <c r="E90" i="26"/>
  <c r="H120" i="12"/>
  <c r="F42" i="15"/>
  <c r="D43" i="15"/>
  <c r="F60" i="13"/>
  <c r="H60" i="13"/>
  <c r="J60" i="13"/>
  <c r="F31" i="13"/>
  <c r="D32" i="13"/>
  <c r="H45" i="12"/>
  <c r="F57" i="15"/>
  <c r="D58" i="15"/>
  <c r="C78" i="1"/>
  <c r="O78" i="1"/>
  <c r="BT78" i="2"/>
  <c r="T102" i="21"/>
  <c r="T104" i="21"/>
  <c r="T192" i="21"/>
  <c r="W102" i="21"/>
  <c r="W104" i="21"/>
  <c r="W192" i="21"/>
  <c r="D74" i="17"/>
  <c r="AM74" i="17"/>
  <c r="F74" i="1"/>
  <c r="N80" i="17"/>
  <c r="N98" i="17"/>
  <c r="J80" i="17"/>
  <c r="J90" i="17"/>
  <c r="C66" i="1"/>
  <c r="C68" i="1"/>
  <c r="O58" i="1"/>
  <c r="Q190" i="26"/>
  <c r="N102" i="26"/>
  <c r="N104" i="26"/>
  <c r="L102" i="26"/>
  <c r="L104" i="26"/>
  <c r="L192" i="26"/>
  <c r="BM98" i="2"/>
  <c r="M98" i="26"/>
  <c r="AZ76" i="21"/>
  <c r="AZ80" i="21"/>
  <c r="BM96" i="2"/>
  <c r="M96" i="26"/>
  <c r="BM97" i="2"/>
  <c r="M97" i="26"/>
  <c r="P77" i="26"/>
  <c r="P80" i="26"/>
  <c r="P90" i="26"/>
  <c r="BM101" i="2"/>
  <c r="M101" i="26"/>
  <c r="I77" i="7"/>
  <c r="BM95" i="2"/>
  <c r="M95" i="26"/>
  <c r="R76" i="26"/>
  <c r="R80" i="26"/>
  <c r="R90" i="26"/>
  <c r="M80" i="26"/>
  <c r="M90" i="26"/>
  <c r="E102" i="7"/>
  <c r="E104" i="7"/>
  <c r="E191" i="7"/>
  <c r="AZ95" i="2"/>
  <c r="AZ97" i="2"/>
  <c r="AZ98" i="2"/>
  <c r="AZ96" i="2"/>
  <c r="AT80" i="21"/>
  <c r="AT90" i="21"/>
  <c r="BH73" i="2"/>
  <c r="BH80" i="2"/>
  <c r="BH90" i="2"/>
  <c r="M80" i="3"/>
  <c r="AL90" i="2"/>
  <c r="AL97" i="2"/>
  <c r="K53" i="23"/>
  <c r="Q102" i="17"/>
  <c r="Q104" i="17"/>
  <c r="AW73" i="2"/>
  <c r="AW80" i="2"/>
  <c r="K55" i="23"/>
  <c r="K9" i="23"/>
  <c r="J80" i="21"/>
  <c r="D74" i="21"/>
  <c r="H136" i="14"/>
  <c r="I5" i="23"/>
  <c r="AL96" i="2"/>
  <c r="AX80" i="2"/>
  <c r="K57" i="23"/>
  <c r="AK102" i="21"/>
  <c r="AK104" i="21"/>
  <c r="AK192" i="21"/>
  <c r="AB75" i="17"/>
  <c r="AB80" i="17"/>
  <c r="AB90" i="17"/>
  <c r="H80" i="3"/>
  <c r="AA73" i="2"/>
  <c r="AA80" i="2"/>
  <c r="K36" i="23"/>
  <c r="AE80" i="2"/>
  <c r="K37" i="23"/>
  <c r="AL98" i="2"/>
  <c r="I14" i="23"/>
  <c r="X73" i="2"/>
  <c r="K47" i="23"/>
  <c r="AQ73" i="2"/>
  <c r="AQ80" i="2"/>
  <c r="K26" i="23"/>
  <c r="P102" i="21"/>
  <c r="P104" i="21"/>
  <c r="P192" i="21"/>
  <c r="O73" i="2"/>
  <c r="K43" i="23"/>
  <c r="K80" i="17"/>
  <c r="K91" i="23"/>
  <c r="S80" i="2"/>
  <c r="I34" i="23"/>
  <c r="I45" i="23"/>
  <c r="I24" i="23"/>
  <c r="AE72" i="17"/>
  <c r="AE80" i="17"/>
  <c r="AE90" i="17"/>
  <c r="BI72" i="2"/>
  <c r="BI80" i="2"/>
  <c r="BI90" i="2"/>
  <c r="AU72" i="21"/>
  <c r="AU80" i="21"/>
  <c r="AU90" i="21"/>
  <c r="P80" i="3"/>
  <c r="K62" i="23"/>
  <c r="AL101" i="2"/>
  <c r="K12" i="23"/>
  <c r="K49" i="23"/>
  <c r="I90" i="3"/>
  <c r="I95" i="3"/>
  <c r="I97" i="3"/>
  <c r="I96" i="3"/>
  <c r="I98" i="3"/>
  <c r="I101" i="3"/>
  <c r="Q73" i="2"/>
  <c r="K31" i="23"/>
  <c r="K32" i="23"/>
  <c r="X102" i="21"/>
  <c r="X104" i="21"/>
  <c r="X192" i="21"/>
  <c r="K102" i="21"/>
  <c r="K104" i="21"/>
  <c r="K192" i="21"/>
  <c r="AJ102" i="17"/>
  <c r="AJ104" i="17"/>
  <c r="AJ190" i="17"/>
  <c r="F88" i="12"/>
  <c r="F89" i="12"/>
  <c r="I76" i="23"/>
  <c r="K73" i="23"/>
  <c r="O171" i="1"/>
  <c r="BN90" i="2"/>
  <c r="H87" i="12"/>
  <c r="J87" i="12"/>
  <c r="F102" i="7"/>
  <c r="F104" i="7"/>
  <c r="AK80" i="17"/>
  <c r="AK90" i="17"/>
  <c r="BO80" i="2"/>
  <c r="BB102" i="2"/>
  <c r="BB104" i="2"/>
  <c r="BB190" i="2"/>
  <c r="BB192" i="2"/>
  <c r="C186" i="1"/>
  <c r="C188" i="1"/>
  <c r="AA102" i="21"/>
  <c r="AA104" i="21"/>
  <c r="AA192" i="21"/>
  <c r="M102" i="21"/>
  <c r="M104" i="21"/>
  <c r="M192" i="21"/>
  <c r="V102" i="21"/>
  <c r="V104" i="21"/>
  <c r="V192" i="21"/>
  <c r="L102" i="21"/>
  <c r="L104" i="21"/>
  <c r="L192" i="21"/>
  <c r="AY102" i="21"/>
  <c r="AY104" i="21"/>
  <c r="AY190" i="21"/>
  <c r="AY192" i="21"/>
  <c r="G102" i="7"/>
  <c r="G104" i="7"/>
  <c r="AP102" i="2"/>
  <c r="AP104" i="2"/>
  <c r="AP190" i="2"/>
  <c r="AP192" i="2"/>
  <c r="F161" i="14"/>
  <c r="H160" i="14"/>
  <c r="J160" i="14"/>
  <c r="AD102" i="17"/>
  <c r="AD104" i="17"/>
  <c r="AK102" i="2"/>
  <c r="AK104" i="2"/>
  <c r="AK190" i="2"/>
  <c r="AK192" i="2"/>
  <c r="L80" i="17"/>
  <c r="O90" i="17"/>
  <c r="O95" i="17"/>
  <c r="O96" i="17"/>
  <c r="O97" i="17"/>
  <c r="O101" i="17"/>
  <c r="O98" i="17"/>
  <c r="V90" i="17"/>
  <c r="V95" i="17"/>
  <c r="V97" i="17"/>
  <c r="V96" i="17"/>
  <c r="V98" i="17"/>
  <c r="V101" i="17"/>
  <c r="W90" i="17"/>
  <c r="W101" i="17"/>
  <c r="W97" i="17"/>
  <c r="W98" i="17"/>
  <c r="W95" i="17"/>
  <c r="W96" i="17"/>
  <c r="M90" i="17"/>
  <c r="M97" i="17"/>
  <c r="M95" i="17"/>
  <c r="M96" i="17"/>
  <c r="M98" i="17"/>
  <c r="M101" i="17"/>
  <c r="N90" i="17"/>
  <c r="N95" i="17"/>
  <c r="T90" i="17"/>
  <c r="T97" i="17"/>
  <c r="T98" i="17"/>
  <c r="T96" i="17"/>
  <c r="T101" i="17"/>
  <c r="T95" i="17"/>
  <c r="R90" i="17"/>
  <c r="R101" i="17"/>
  <c r="R95" i="17"/>
  <c r="R98" i="17"/>
  <c r="R96" i="17"/>
  <c r="R97" i="17"/>
  <c r="O102" i="21"/>
  <c r="O104" i="21"/>
  <c r="O192" i="21"/>
  <c r="I19" i="23"/>
  <c r="AV102" i="2"/>
  <c r="AV104" i="2"/>
  <c r="AV190" i="2"/>
  <c r="AV192" i="2"/>
  <c r="G90" i="21"/>
  <c r="G95" i="21"/>
  <c r="G96" i="21"/>
  <c r="G101" i="21"/>
  <c r="G98" i="21"/>
  <c r="G97" i="21"/>
  <c r="I97" i="17"/>
  <c r="S101" i="17"/>
  <c r="S98" i="17"/>
  <c r="S97" i="17"/>
  <c r="S95" i="17"/>
  <c r="S90" i="17"/>
  <c r="S96" i="17"/>
  <c r="P90" i="17"/>
  <c r="P101" i="17"/>
  <c r="P96" i="17"/>
  <c r="P97" i="17"/>
  <c r="P95" i="17"/>
  <c r="P98" i="17"/>
  <c r="F95" i="21"/>
  <c r="F102" i="21"/>
  <c r="F104" i="21"/>
  <c r="F190" i="21"/>
  <c r="F192" i="21"/>
  <c r="V90" i="2"/>
  <c r="V96" i="2"/>
  <c r="V98" i="2"/>
  <c r="V97" i="2"/>
  <c r="V95" i="2"/>
  <c r="V101" i="2"/>
  <c r="F188" i="1"/>
  <c r="J101" i="17"/>
  <c r="J98" i="17"/>
  <c r="H177" i="14"/>
  <c r="J177" i="14"/>
  <c r="F125" i="14"/>
  <c r="H124" i="14"/>
  <c r="J123" i="14"/>
  <c r="L122" i="14"/>
  <c r="F24" i="12"/>
  <c r="H23" i="12"/>
  <c r="J23" i="12"/>
  <c r="H59" i="12"/>
  <c r="J59" i="12"/>
  <c r="F8" i="15"/>
  <c r="H8" i="15"/>
  <c r="J8" i="15"/>
  <c r="L8" i="15"/>
  <c r="F101" i="12"/>
  <c r="H101" i="12"/>
  <c r="J101" i="12"/>
  <c r="D102" i="12"/>
  <c r="I75" i="23"/>
  <c r="I98" i="17"/>
  <c r="I96" i="17"/>
  <c r="I101" i="17"/>
  <c r="I95" i="17"/>
  <c r="F32" i="13"/>
  <c r="D33" i="13"/>
  <c r="D112" i="13"/>
  <c r="F111" i="13"/>
  <c r="H111" i="13"/>
  <c r="F58" i="15"/>
  <c r="D59" i="15"/>
  <c r="F61" i="13"/>
  <c r="H61" i="13"/>
  <c r="J61" i="13"/>
  <c r="F43" i="15"/>
  <c r="D44" i="15"/>
  <c r="H121" i="12"/>
  <c r="F25" i="14"/>
  <c r="H25" i="14"/>
  <c r="I64" i="23"/>
  <c r="K64" i="23"/>
  <c r="D26" i="14"/>
  <c r="F9" i="14"/>
  <c r="H9" i="14"/>
  <c r="F46" i="13"/>
  <c r="D47" i="13"/>
  <c r="H46" i="12"/>
  <c r="H88" i="12"/>
  <c r="J88" i="12"/>
  <c r="H145" i="12"/>
  <c r="J145" i="12"/>
  <c r="F29" i="15"/>
  <c r="D30" i="15"/>
  <c r="F138" i="14"/>
  <c r="N97" i="17"/>
  <c r="J95" i="17"/>
  <c r="J97" i="17"/>
  <c r="J96" i="17"/>
  <c r="J102" i="17"/>
  <c r="J104" i="17"/>
  <c r="N101" i="17"/>
  <c r="D73" i="17"/>
  <c r="N96" i="17"/>
  <c r="N102" i="17"/>
  <c r="N104" i="17"/>
  <c r="AZ102" i="2"/>
  <c r="AZ104" i="2"/>
  <c r="AZ190" i="2"/>
  <c r="AZ192" i="2"/>
  <c r="BM102" i="2"/>
  <c r="BM104" i="2"/>
  <c r="L190" i="26"/>
  <c r="M102" i="26"/>
  <c r="M104" i="26"/>
  <c r="M192" i="26"/>
  <c r="N192" i="26"/>
  <c r="N190" i="26"/>
  <c r="T76" i="26"/>
  <c r="M190" i="26"/>
  <c r="P101" i="26"/>
  <c r="P96" i="26"/>
  <c r="P97" i="26"/>
  <c r="P98" i="26"/>
  <c r="K76" i="23"/>
  <c r="E193" i="7"/>
  <c r="Q190" i="17"/>
  <c r="Q192" i="17"/>
  <c r="AL102" i="2"/>
  <c r="AL104" i="2"/>
  <c r="AL190" i="2"/>
  <c r="AL192" i="2"/>
  <c r="Q73" i="21"/>
  <c r="K48" i="23"/>
  <c r="AI80" i="2"/>
  <c r="K50" i="23"/>
  <c r="K101" i="17"/>
  <c r="D101" i="17"/>
  <c r="K90" i="17"/>
  <c r="K96" i="17"/>
  <c r="D96" i="17"/>
  <c r="K95" i="17"/>
  <c r="K97" i="17"/>
  <c r="K98" i="17"/>
  <c r="AE90" i="2"/>
  <c r="AE98" i="2"/>
  <c r="AE96" i="2"/>
  <c r="AE101" i="2"/>
  <c r="AE97" i="2"/>
  <c r="AE95" i="2"/>
  <c r="D80" i="21"/>
  <c r="BB74" i="21"/>
  <c r="I74" i="1"/>
  <c r="AF80" i="2"/>
  <c r="K39" i="23"/>
  <c r="T73" i="2"/>
  <c r="K45" i="23"/>
  <c r="AA97" i="2"/>
  <c r="AA96" i="2"/>
  <c r="AA95" i="2"/>
  <c r="AA98" i="2"/>
  <c r="AA90" i="2"/>
  <c r="AA101" i="2"/>
  <c r="AX98" i="2"/>
  <c r="AX95" i="2"/>
  <c r="AX90" i="2"/>
  <c r="AX97" i="2"/>
  <c r="AX101" i="2"/>
  <c r="AX96" i="2"/>
  <c r="J90" i="21"/>
  <c r="J95" i="21"/>
  <c r="J98" i="21"/>
  <c r="J97" i="21"/>
  <c r="J101" i="21"/>
  <c r="J96" i="21"/>
  <c r="AW90" i="2"/>
  <c r="AW97" i="2"/>
  <c r="AW98" i="2"/>
  <c r="AW95" i="2"/>
  <c r="AW101" i="2"/>
  <c r="AW96" i="2"/>
  <c r="AU80" i="2"/>
  <c r="M98" i="3"/>
  <c r="M101" i="3"/>
  <c r="M97" i="3"/>
  <c r="M96" i="3"/>
  <c r="M95" i="3"/>
  <c r="M90" i="3"/>
  <c r="Y80" i="2"/>
  <c r="Y97" i="2"/>
  <c r="K19" i="23"/>
  <c r="Q80" i="2"/>
  <c r="AN73" i="2"/>
  <c r="AN80" i="2"/>
  <c r="K24" i="23"/>
  <c r="U73" i="2"/>
  <c r="U80" i="2"/>
  <c r="K34" i="23"/>
  <c r="S96" i="2"/>
  <c r="S90" i="2"/>
  <c r="S97" i="2"/>
  <c r="S101" i="2"/>
  <c r="S95" i="2"/>
  <c r="S98" i="2"/>
  <c r="AQ95" i="2"/>
  <c r="AQ90" i="2"/>
  <c r="AQ96" i="2"/>
  <c r="AQ98" i="2"/>
  <c r="AQ97" i="2"/>
  <c r="AQ101" i="2"/>
  <c r="L80" i="2"/>
  <c r="M80" i="2"/>
  <c r="K6" i="23"/>
  <c r="H90" i="3"/>
  <c r="H101" i="3"/>
  <c r="AB101" i="17"/>
  <c r="H98" i="3"/>
  <c r="AB98" i="17"/>
  <c r="H97" i="3"/>
  <c r="AB97" i="17"/>
  <c r="H95" i="3"/>
  <c r="H96" i="3"/>
  <c r="AB96" i="17"/>
  <c r="G75" i="3"/>
  <c r="K5" i="23"/>
  <c r="D80" i="17"/>
  <c r="D90" i="17"/>
  <c r="R80" i="2"/>
  <c r="I102" i="3"/>
  <c r="I104" i="3"/>
  <c r="I191" i="3"/>
  <c r="P90" i="3"/>
  <c r="P96" i="3"/>
  <c r="E96" i="26"/>
  <c r="P97" i="3"/>
  <c r="E97" i="26"/>
  <c r="P101" i="3"/>
  <c r="E101" i="26"/>
  <c r="P98" i="3"/>
  <c r="E98" i="26"/>
  <c r="P95" i="3"/>
  <c r="E95" i="26"/>
  <c r="AB80" i="2"/>
  <c r="K28" i="23"/>
  <c r="AJ80" i="2"/>
  <c r="K38" i="23"/>
  <c r="Z80" i="2"/>
  <c r="K14" i="23"/>
  <c r="AJ192" i="17"/>
  <c r="K75" i="23"/>
  <c r="BO90" i="2"/>
  <c r="AK101" i="17"/>
  <c r="AK96" i="17"/>
  <c r="AK98" i="17"/>
  <c r="AK97" i="17"/>
  <c r="F191" i="7"/>
  <c r="F193" i="7"/>
  <c r="AZ96" i="21"/>
  <c r="AZ98" i="21"/>
  <c r="AZ97" i="21"/>
  <c r="AZ101" i="21"/>
  <c r="BO98" i="2"/>
  <c r="BO96" i="2"/>
  <c r="BO97" i="2"/>
  <c r="BO101" i="2"/>
  <c r="AZ90" i="21"/>
  <c r="F193" i="21"/>
  <c r="BM192" i="2"/>
  <c r="BM190" i="2"/>
  <c r="G191" i="7"/>
  <c r="G193" i="7"/>
  <c r="R102" i="17"/>
  <c r="R104" i="17"/>
  <c r="M102" i="17"/>
  <c r="M104" i="17"/>
  <c r="F162" i="14"/>
  <c r="H161" i="14"/>
  <c r="J161" i="14"/>
  <c r="AD190" i="17"/>
  <c r="AD192" i="17"/>
  <c r="W102" i="17"/>
  <c r="W104" i="17"/>
  <c r="G102" i="21"/>
  <c r="G104" i="21"/>
  <c r="G190" i="21"/>
  <c r="G192" i="21"/>
  <c r="Y90" i="2"/>
  <c r="Y98" i="2"/>
  <c r="V102" i="2"/>
  <c r="V104" i="2"/>
  <c r="V190" i="2"/>
  <c r="V192" i="2"/>
  <c r="S102" i="17"/>
  <c r="S104" i="17"/>
  <c r="V102" i="17"/>
  <c r="V104" i="17"/>
  <c r="P102" i="17"/>
  <c r="P104" i="17"/>
  <c r="L90" i="17"/>
  <c r="L97" i="17"/>
  <c r="L96" i="17"/>
  <c r="L101" i="17"/>
  <c r="L95" i="17"/>
  <c r="L98" i="17"/>
  <c r="X80" i="2"/>
  <c r="T102" i="17"/>
  <c r="T104" i="17"/>
  <c r="O102" i="17"/>
  <c r="O104" i="17"/>
  <c r="I102" i="17"/>
  <c r="I104" i="17"/>
  <c r="L66" i="1"/>
  <c r="D98" i="17"/>
  <c r="F178" i="14"/>
  <c r="H178" i="14"/>
  <c r="J178" i="14"/>
  <c r="F126" i="14"/>
  <c r="H125" i="14"/>
  <c r="D103" i="12"/>
  <c r="F102" i="12"/>
  <c r="H102" i="12"/>
  <c r="J102" i="12"/>
  <c r="F9" i="15"/>
  <c r="H9" i="15"/>
  <c r="J9" i="15"/>
  <c r="L9" i="15"/>
  <c r="H60" i="12"/>
  <c r="J60" i="12"/>
  <c r="F25" i="12"/>
  <c r="H24" i="12"/>
  <c r="J24" i="12"/>
  <c r="D31" i="15"/>
  <c r="F30" i="15"/>
  <c r="F62" i="13"/>
  <c r="H62" i="13"/>
  <c r="J62" i="13"/>
  <c r="D60" i="15"/>
  <c r="F59" i="15"/>
  <c r="F112" i="13"/>
  <c r="H112" i="13"/>
  <c r="D113" i="13"/>
  <c r="F10" i="14"/>
  <c r="H10" i="14"/>
  <c r="H122" i="12"/>
  <c r="H137" i="14"/>
  <c r="H146" i="12"/>
  <c r="J146" i="12"/>
  <c r="F90" i="12"/>
  <c r="H90" i="12"/>
  <c r="J90" i="12"/>
  <c r="H89" i="12"/>
  <c r="J89" i="12"/>
  <c r="H47" i="12"/>
  <c r="F47" i="13"/>
  <c r="D48" i="13"/>
  <c r="D27" i="14"/>
  <c r="F26" i="14"/>
  <c r="H26" i="14"/>
  <c r="D45" i="15"/>
  <c r="F44" i="15"/>
  <c r="F33" i="13"/>
  <c r="D34" i="13"/>
  <c r="I27" i="23"/>
  <c r="I41" i="23"/>
  <c r="BO95" i="2"/>
  <c r="AZ95" i="21"/>
  <c r="AK95" i="17"/>
  <c r="R95" i="26"/>
  <c r="R97" i="26"/>
  <c r="D97" i="17"/>
  <c r="E102" i="26"/>
  <c r="E104" i="26"/>
  <c r="E190" i="26"/>
  <c r="L76" i="1"/>
  <c r="W76" i="26"/>
  <c r="E192" i="26"/>
  <c r="V192" i="17"/>
  <c r="V190" i="17"/>
  <c r="R192" i="17"/>
  <c r="R190" i="17"/>
  <c r="T192" i="17"/>
  <c r="T190" i="17"/>
  <c r="S192" i="17"/>
  <c r="S190" i="17"/>
  <c r="J192" i="17"/>
  <c r="J190" i="17"/>
  <c r="M192" i="17"/>
  <c r="M190" i="17"/>
  <c r="N192" i="17"/>
  <c r="N190" i="17"/>
  <c r="W190" i="17"/>
  <c r="W192" i="17"/>
  <c r="H77" i="26"/>
  <c r="H77" i="6"/>
  <c r="H80" i="6"/>
  <c r="H90" i="6"/>
  <c r="E80" i="6"/>
  <c r="E90" i="6"/>
  <c r="P95" i="26"/>
  <c r="P102" i="26"/>
  <c r="P104" i="26"/>
  <c r="I190" i="17"/>
  <c r="I192" i="17"/>
  <c r="P192" i="17"/>
  <c r="P190" i="17"/>
  <c r="O192" i="17"/>
  <c r="O190" i="17"/>
  <c r="K102" i="17"/>
  <c r="K104" i="17"/>
  <c r="AE102" i="2"/>
  <c r="AE104" i="2"/>
  <c r="AE190" i="2"/>
  <c r="AE192" i="2"/>
  <c r="Y95" i="2"/>
  <c r="Y96" i="2"/>
  <c r="Y101" i="2"/>
  <c r="S102" i="2"/>
  <c r="L95" i="2"/>
  <c r="L96" i="2"/>
  <c r="L101" i="2"/>
  <c r="L90" i="2"/>
  <c r="L98" i="2"/>
  <c r="L97" i="2"/>
  <c r="W73" i="2"/>
  <c r="W80" i="2"/>
  <c r="W90" i="2"/>
  <c r="K27" i="23"/>
  <c r="Z90" i="2"/>
  <c r="Z98" i="2"/>
  <c r="Z97" i="2"/>
  <c r="Z95" i="2"/>
  <c r="Z96" i="2"/>
  <c r="Z101" i="2"/>
  <c r="AB90" i="2"/>
  <c r="AB95" i="2"/>
  <c r="AB96" i="2"/>
  <c r="AB97" i="2"/>
  <c r="AB98" i="2"/>
  <c r="AB101" i="2"/>
  <c r="AE97" i="17"/>
  <c r="BI97" i="2"/>
  <c r="AU97" i="21"/>
  <c r="R98" i="2"/>
  <c r="R90" i="2"/>
  <c r="R95" i="2"/>
  <c r="R97" i="2"/>
  <c r="R96" i="2"/>
  <c r="R101" i="2"/>
  <c r="AN90" i="2"/>
  <c r="AN95" i="2"/>
  <c r="AN96" i="2"/>
  <c r="AN97" i="2"/>
  <c r="AN98" i="2"/>
  <c r="AN101" i="2"/>
  <c r="BH101" i="2"/>
  <c r="AF90" i="2"/>
  <c r="AF97" i="2"/>
  <c r="AF95" i="2"/>
  <c r="AF96" i="2"/>
  <c r="AF98" i="2"/>
  <c r="AF101" i="2"/>
  <c r="AE95" i="17"/>
  <c r="BI95" i="2"/>
  <c r="AU95" i="21"/>
  <c r="P102" i="3"/>
  <c r="P104" i="3"/>
  <c r="P191" i="3"/>
  <c r="AE96" i="17"/>
  <c r="AU96" i="21"/>
  <c r="BI96" i="2"/>
  <c r="AR75" i="21"/>
  <c r="AR80" i="21"/>
  <c r="AR90" i="21"/>
  <c r="BF75" i="2"/>
  <c r="BF80" i="2"/>
  <c r="BF90" i="2"/>
  <c r="G80" i="3"/>
  <c r="G90" i="3"/>
  <c r="AB95" i="17"/>
  <c r="AB102" i="17"/>
  <c r="AB104" i="17"/>
  <c r="AB192" i="17"/>
  <c r="H102" i="3"/>
  <c r="H104" i="3"/>
  <c r="H191" i="3"/>
  <c r="BH95" i="2"/>
  <c r="M102" i="3"/>
  <c r="M104" i="3"/>
  <c r="M191" i="3"/>
  <c r="BH98" i="2"/>
  <c r="AX102" i="2"/>
  <c r="AX104" i="2"/>
  <c r="AX190" i="2"/>
  <c r="AX192" i="2"/>
  <c r="D101" i="21"/>
  <c r="D95" i="21"/>
  <c r="D98" i="21"/>
  <c r="D90" i="21"/>
  <c r="D96" i="21"/>
  <c r="D97" i="21"/>
  <c r="AI98" i="2"/>
  <c r="AI95" i="2"/>
  <c r="AI101" i="2"/>
  <c r="AI96" i="2"/>
  <c r="AI90" i="2"/>
  <c r="AI97" i="2"/>
  <c r="AJ98" i="2"/>
  <c r="AJ95" i="2"/>
  <c r="AJ90" i="2"/>
  <c r="AJ97" i="2"/>
  <c r="AJ101" i="2"/>
  <c r="AJ96" i="2"/>
  <c r="AE98" i="17"/>
  <c r="AU98" i="21"/>
  <c r="BI98" i="2"/>
  <c r="AQ102" i="2"/>
  <c r="AQ104" i="2"/>
  <c r="AQ190" i="2"/>
  <c r="AQ192" i="2"/>
  <c r="U96" i="2"/>
  <c r="U101" i="2"/>
  <c r="U90" i="2"/>
  <c r="U95" i="2"/>
  <c r="U98" i="2"/>
  <c r="U97" i="2"/>
  <c r="BH96" i="2"/>
  <c r="AW102" i="2"/>
  <c r="AW104" i="2"/>
  <c r="AW190" i="2"/>
  <c r="AW192" i="2"/>
  <c r="AA102" i="2"/>
  <c r="AA104" i="2"/>
  <c r="AA190" i="2"/>
  <c r="AA192" i="2"/>
  <c r="Q80" i="21"/>
  <c r="E73" i="21"/>
  <c r="AO80" i="2"/>
  <c r="K41" i="23"/>
  <c r="K58" i="23"/>
  <c r="D95" i="17"/>
  <c r="D102" i="17"/>
  <c r="D104" i="17"/>
  <c r="AU101" i="21"/>
  <c r="AE101" i="17"/>
  <c r="BI101" i="2"/>
  <c r="K10" i="23"/>
  <c r="M95" i="2"/>
  <c r="M96" i="2"/>
  <c r="M101" i="2"/>
  <c r="M90" i="2"/>
  <c r="M98" i="2"/>
  <c r="M97" i="2"/>
  <c r="S104" i="2"/>
  <c r="S190" i="2"/>
  <c r="S192" i="2"/>
  <c r="Q90" i="2"/>
  <c r="Q96" i="2"/>
  <c r="Q97" i="2"/>
  <c r="Q98" i="2"/>
  <c r="Q95" i="2"/>
  <c r="Q101" i="2"/>
  <c r="BH97" i="2"/>
  <c r="AU98" i="2"/>
  <c r="AU90" i="2"/>
  <c r="AU96" i="2"/>
  <c r="AU97" i="2"/>
  <c r="AU95" i="2"/>
  <c r="AU101" i="2"/>
  <c r="J102" i="21"/>
  <c r="J104" i="21"/>
  <c r="J192" i="21"/>
  <c r="D101" i="6"/>
  <c r="D98" i="6"/>
  <c r="D95" i="6"/>
  <c r="D97" i="6"/>
  <c r="D96" i="6"/>
  <c r="E98" i="6"/>
  <c r="AZ102" i="21"/>
  <c r="AZ104" i="21"/>
  <c r="AZ190" i="21"/>
  <c r="AZ192" i="21"/>
  <c r="BO102" i="2"/>
  <c r="BO104" i="2"/>
  <c r="AB190" i="17"/>
  <c r="F163" i="14"/>
  <c r="H162" i="14"/>
  <c r="J162" i="14"/>
  <c r="X90" i="2"/>
  <c r="X97" i="2"/>
  <c r="X95" i="2"/>
  <c r="X96" i="2"/>
  <c r="X98" i="2"/>
  <c r="X101" i="2"/>
  <c r="L102" i="17"/>
  <c r="L104" i="17"/>
  <c r="F127" i="14"/>
  <c r="F179" i="14"/>
  <c r="H179" i="14"/>
  <c r="J179" i="14"/>
  <c r="H126" i="14"/>
  <c r="J124" i="14"/>
  <c r="L123" i="14"/>
  <c r="H61" i="12"/>
  <c r="J61" i="12"/>
  <c r="D104" i="12"/>
  <c r="F103" i="12"/>
  <c r="H103" i="12"/>
  <c r="J103" i="12"/>
  <c r="F26" i="12"/>
  <c r="H25" i="12"/>
  <c r="J25" i="12"/>
  <c r="F10" i="15"/>
  <c r="F34" i="13"/>
  <c r="D35" i="13"/>
  <c r="F48" i="13"/>
  <c r="D49" i="13"/>
  <c r="F60" i="15"/>
  <c r="D61" i="15"/>
  <c r="H147" i="12"/>
  <c r="J147" i="12"/>
  <c r="F63" i="13"/>
  <c r="H63" i="13"/>
  <c r="J63" i="13"/>
  <c r="F27" i="14"/>
  <c r="H27" i="14"/>
  <c r="D28" i="14"/>
  <c r="I72" i="23"/>
  <c r="F49" i="12"/>
  <c r="H48" i="12"/>
  <c r="H123" i="12"/>
  <c r="D32" i="15"/>
  <c r="F31" i="15"/>
  <c r="H138" i="14"/>
  <c r="F45" i="15"/>
  <c r="D46" i="15"/>
  <c r="D12" i="14"/>
  <c r="F11" i="14"/>
  <c r="H11" i="14"/>
  <c r="F113" i="13"/>
  <c r="H113" i="13"/>
  <c r="D114" i="13"/>
  <c r="R96" i="26"/>
  <c r="R98" i="26"/>
  <c r="R101" i="26"/>
  <c r="R102" i="2"/>
  <c r="R104" i="2"/>
  <c r="R190" i="2"/>
  <c r="R192" i="2"/>
  <c r="E97" i="6"/>
  <c r="G97" i="3"/>
  <c r="AR97" i="21"/>
  <c r="AT102" i="21"/>
  <c r="AT104" i="21"/>
  <c r="AT190" i="21"/>
  <c r="AT192" i="21"/>
  <c r="L190" i="17"/>
  <c r="L192" i="17"/>
  <c r="K192" i="17"/>
  <c r="K190" i="17"/>
  <c r="BI102" i="2"/>
  <c r="BI104" i="2"/>
  <c r="BI192" i="2"/>
  <c r="E96" i="6"/>
  <c r="E95" i="6"/>
  <c r="E101" i="6"/>
  <c r="E102" i="6"/>
  <c r="E104" i="6"/>
  <c r="E191" i="6"/>
  <c r="H80" i="26"/>
  <c r="T77" i="26"/>
  <c r="L77" i="1"/>
  <c r="D102" i="6"/>
  <c r="D104" i="6"/>
  <c r="D191" i="6"/>
  <c r="P190" i="26"/>
  <c r="P192" i="26"/>
  <c r="D190" i="17"/>
  <c r="D192" i="17"/>
  <c r="Y102" i="2"/>
  <c r="Y104" i="2"/>
  <c r="Y190" i="2"/>
  <c r="Y192" i="2"/>
  <c r="BF97" i="2"/>
  <c r="K76" i="3"/>
  <c r="L80" i="3"/>
  <c r="I59" i="23"/>
  <c r="K59" i="23"/>
  <c r="K15" i="23"/>
  <c r="AO90" i="2"/>
  <c r="AO95" i="2"/>
  <c r="AO97" i="2"/>
  <c r="AO96" i="2"/>
  <c r="AO101" i="2"/>
  <c r="AO98" i="2"/>
  <c r="AJ102" i="2"/>
  <c r="AJ104" i="2"/>
  <c r="AJ190" i="2"/>
  <c r="AJ192" i="2"/>
  <c r="AI102" i="2"/>
  <c r="AI104" i="2"/>
  <c r="AI190" i="2"/>
  <c r="AI192" i="2"/>
  <c r="E75" i="3"/>
  <c r="M102" i="2"/>
  <c r="M104" i="2"/>
  <c r="M190" i="2"/>
  <c r="M192" i="2"/>
  <c r="E80" i="21"/>
  <c r="E90" i="21"/>
  <c r="BB73" i="21"/>
  <c r="I73" i="1"/>
  <c r="U102" i="2"/>
  <c r="U104" i="2"/>
  <c r="U190" i="2"/>
  <c r="U192" i="2"/>
  <c r="BH102" i="2"/>
  <c r="BH104" i="2"/>
  <c r="AE102" i="17"/>
  <c r="AE104" i="17"/>
  <c r="AU102" i="2"/>
  <c r="AU104" i="2"/>
  <c r="AU190" i="2"/>
  <c r="AU192" i="2"/>
  <c r="Q102" i="2"/>
  <c r="Q104" i="2"/>
  <c r="Q190" i="2"/>
  <c r="Q192" i="2"/>
  <c r="AQ75" i="21"/>
  <c r="BE75" i="2"/>
  <c r="Q101" i="21"/>
  <c r="E101" i="21"/>
  <c r="Q90" i="21"/>
  <c r="Q98" i="21"/>
  <c r="E98" i="21"/>
  <c r="Q96" i="21"/>
  <c r="E96" i="21"/>
  <c r="Q95" i="21"/>
  <c r="Q97" i="21"/>
  <c r="E97" i="21"/>
  <c r="O74" i="2"/>
  <c r="O80" i="2"/>
  <c r="K16" i="23"/>
  <c r="D102" i="21"/>
  <c r="D104" i="21"/>
  <c r="D190" i="21"/>
  <c r="D192" i="21"/>
  <c r="D193" i="21"/>
  <c r="AF102" i="2"/>
  <c r="AF104" i="2"/>
  <c r="AF190" i="2"/>
  <c r="AF192" i="2"/>
  <c r="C72" i="3"/>
  <c r="D72" i="26"/>
  <c r="K72" i="23"/>
  <c r="AU102" i="21"/>
  <c r="AU104" i="21"/>
  <c r="AU190" i="21"/>
  <c r="AU192" i="21"/>
  <c r="AN102" i="2"/>
  <c r="AN104" i="2"/>
  <c r="AN190" i="2"/>
  <c r="AN192" i="2"/>
  <c r="AB102" i="2"/>
  <c r="AB104" i="2"/>
  <c r="AB190" i="2"/>
  <c r="AB192" i="2"/>
  <c r="Z102" i="2"/>
  <c r="Z104" i="2"/>
  <c r="Z190" i="2"/>
  <c r="Z192" i="2"/>
  <c r="L102" i="2"/>
  <c r="L104" i="2"/>
  <c r="L190" i="2"/>
  <c r="L192" i="2"/>
  <c r="AK102" i="17"/>
  <c r="AK104" i="17"/>
  <c r="AK190" i="17"/>
  <c r="H10" i="15"/>
  <c r="J10" i="15"/>
  <c r="L10" i="15"/>
  <c r="F128" i="14"/>
  <c r="F129" i="14"/>
  <c r="F164" i="14"/>
  <c r="H163" i="14"/>
  <c r="J163" i="14"/>
  <c r="X102" i="2"/>
  <c r="X104" i="2"/>
  <c r="X190" i="2"/>
  <c r="X192" i="2"/>
  <c r="D80" i="3"/>
  <c r="O90" i="2"/>
  <c r="O97" i="2"/>
  <c r="O96" i="2"/>
  <c r="O101" i="2"/>
  <c r="O95" i="2"/>
  <c r="O98" i="2"/>
  <c r="H80" i="21"/>
  <c r="F180" i="14"/>
  <c r="H180" i="14"/>
  <c r="J180" i="14"/>
  <c r="D181" i="14"/>
  <c r="J125" i="14"/>
  <c r="L124" i="14"/>
  <c r="H127" i="14"/>
  <c r="F11" i="15"/>
  <c r="H11" i="15"/>
  <c r="J11" i="15"/>
  <c r="L11" i="15"/>
  <c r="H26" i="12"/>
  <c r="J26" i="12"/>
  <c r="F27" i="12"/>
  <c r="D105" i="12"/>
  <c r="F104" i="12"/>
  <c r="H104" i="12"/>
  <c r="J104" i="12"/>
  <c r="H62" i="12"/>
  <c r="J62" i="12"/>
  <c r="F50" i="12"/>
  <c r="H50" i="12"/>
  <c r="H49" i="12"/>
  <c r="H148" i="12"/>
  <c r="J148" i="12"/>
  <c r="H149" i="12"/>
  <c r="J149" i="12"/>
  <c r="H139" i="14"/>
  <c r="F32" i="15"/>
  <c r="D33" i="15"/>
  <c r="F33" i="15"/>
  <c r="F64" i="13"/>
  <c r="H64" i="13"/>
  <c r="J64" i="13"/>
  <c r="D50" i="13"/>
  <c r="F49" i="13"/>
  <c r="F46" i="15"/>
  <c r="D47" i="15"/>
  <c r="F12" i="14"/>
  <c r="H12" i="14"/>
  <c r="D13" i="14"/>
  <c r="F13" i="14"/>
  <c r="H13" i="14"/>
  <c r="D62" i="15"/>
  <c r="F62" i="15"/>
  <c r="F61" i="15"/>
  <c r="F35" i="13"/>
  <c r="D36" i="13"/>
  <c r="F36" i="13"/>
  <c r="F114" i="13"/>
  <c r="H114" i="13"/>
  <c r="D115" i="13"/>
  <c r="F115" i="13"/>
  <c r="H115" i="13"/>
  <c r="G101" i="3"/>
  <c r="G96" i="3"/>
  <c r="G98" i="3"/>
  <c r="G95" i="3"/>
  <c r="BQ77" i="2"/>
  <c r="F77" i="17"/>
  <c r="AM77" i="17"/>
  <c r="F77" i="1"/>
  <c r="H124" i="12"/>
  <c r="D29" i="14"/>
  <c r="F28" i="14"/>
  <c r="H28" i="14"/>
  <c r="R102" i="26"/>
  <c r="R104" i="26"/>
  <c r="D193" i="17"/>
  <c r="C80" i="3"/>
  <c r="BI190" i="2"/>
  <c r="C77" i="1"/>
  <c r="O77" i="1"/>
  <c r="BT77" i="2"/>
  <c r="D80" i="26"/>
  <c r="D90" i="26"/>
  <c r="H95" i="26"/>
  <c r="H101" i="26"/>
  <c r="H90" i="26"/>
  <c r="H98" i="26"/>
  <c r="H96" i="26"/>
  <c r="H97" i="26"/>
  <c r="BF96" i="2"/>
  <c r="AR96" i="21"/>
  <c r="AE190" i="17"/>
  <c r="AE192" i="17"/>
  <c r="AO102" i="2"/>
  <c r="AO104" i="2"/>
  <c r="AO190" i="2"/>
  <c r="AO192" i="2"/>
  <c r="AC76" i="17"/>
  <c r="K80" i="3"/>
  <c r="BF101" i="2"/>
  <c r="AR101" i="21"/>
  <c r="AD80" i="2"/>
  <c r="AD90" i="2"/>
  <c r="AC80" i="2"/>
  <c r="AC90" i="2"/>
  <c r="K20" i="23"/>
  <c r="Q102" i="21"/>
  <c r="Q104" i="21"/>
  <c r="Q192" i="21"/>
  <c r="E95" i="21"/>
  <c r="E102" i="21"/>
  <c r="E104" i="21"/>
  <c r="E190" i="21"/>
  <c r="E192" i="21"/>
  <c r="E193" i="21"/>
  <c r="BH190" i="2"/>
  <c r="BH192" i="2"/>
  <c r="BG76" i="2"/>
  <c r="AS76" i="21"/>
  <c r="I63" i="23"/>
  <c r="BF95" i="2"/>
  <c r="AR95" i="21"/>
  <c r="AP72" i="21"/>
  <c r="AP80" i="21"/>
  <c r="AP90" i="21"/>
  <c r="BD72" i="2"/>
  <c r="BD80" i="2"/>
  <c r="BD90" i="2"/>
  <c r="Z72" i="17"/>
  <c r="Z80" i="17"/>
  <c r="Z90" i="17"/>
  <c r="AG80" i="2"/>
  <c r="AG90" i="2"/>
  <c r="K29" i="23"/>
  <c r="AA75" i="17"/>
  <c r="AA80" i="17"/>
  <c r="E80" i="3"/>
  <c r="L101" i="3"/>
  <c r="L97" i="3"/>
  <c r="L90" i="3"/>
  <c r="L96" i="3"/>
  <c r="L95" i="3"/>
  <c r="L98" i="3"/>
  <c r="BF98" i="2"/>
  <c r="AR98" i="21"/>
  <c r="AK192" i="17"/>
  <c r="F80" i="17"/>
  <c r="F90" i="17"/>
  <c r="K93" i="23"/>
  <c r="F105" i="12"/>
  <c r="H105" i="12"/>
  <c r="J105" i="12"/>
  <c r="D106" i="12"/>
  <c r="BB72" i="21"/>
  <c r="O102" i="2"/>
  <c r="O104" i="2"/>
  <c r="O190" i="2"/>
  <c r="O192" i="2"/>
  <c r="BE80" i="2"/>
  <c r="BQ75" i="2"/>
  <c r="H164" i="14"/>
  <c r="J164" i="14"/>
  <c r="F165" i="14"/>
  <c r="D90" i="3"/>
  <c r="D101" i="3"/>
  <c r="D97" i="3"/>
  <c r="D96" i="3"/>
  <c r="D95" i="3"/>
  <c r="D98" i="3"/>
  <c r="C90" i="3"/>
  <c r="C97" i="3"/>
  <c r="D97" i="26"/>
  <c r="C101" i="3"/>
  <c r="D101" i="26"/>
  <c r="C98" i="3"/>
  <c r="D98" i="26"/>
  <c r="C96" i="3"/>
  <c r="D96" i="26"/>
  <c r="C95" i="3"/>
  <c r="D95" i="26"/>
  <c r="J80" i="3"/>
  <c r="J96" i="3"/>
  <c r="AQ80" i="21"/>
  <c r="BB75" i="21"/>
  <c r="I75" i="1"/>
  <c r="G102" i="3"/>
  <c r="G104" i="3"/>
  <c r="G191" i="3"/>
  <c r="H90" i="21"/>
  <c r="H101" i="21"/>
  <c r="H95" i="21"/>
  <c r="H98" i="21"/>
  <c r="H97" i="21"/>
  <c r="H96" i="21"/>
  <c r="G80" i="2"/>
  <c r="G90" i="2"/>
  <c r="H128" i="14"/>
  <c r="J126" i="14"/>
  <c r="F181" i="14"/>
  <c r="H181" i="14"/>
  <c r="J181" i="14"/>
  <c r="D182" i="14"/>
  <c r="F182" i="14"/>
  <c r="H182" i="14"/>
  <c r="J182" i="14"/>
  <c r="F12" i="15"/>
  <c r="H12" i="15"/>
  <c r="J12" i="15"/>
  <c r="L12" i="15"/>
  <c r="H125" i="12"/>
  <c r="H64" i="12"/>
  <c r="J64" i="12"/>
  <c r="H63" i="12"/>
  <c r="J63" i="12"/>
  <c r="F28" i="12"/>
  <c r="D72" i="7"/>
  <c r="K72" i="26"/>
  <c r="K80" i="26"/>
  <c r="K90" i="26"/>
  <c r="H27" i="12"/>
  <c r="J27" i="12"/>
  <c r="D80" i="8"/>
  <c r="D48" i="15"/>
  <c r="F48" i="15"/>
  <c r="F47" i="15"/>
  <c r="F65" i="13"/>
  <c r="H65" i="13"/>
  <c r="J65" i="13"/>
  <c r="H140" i="14"/>
  <c r="F50" i="13"/>
  <c r="D51" i="13"/>
  <c r="F51" i="13"/>
  <c r="D30" i="14"/>
  <c r="F29" i="14"/>
  <c r="H29" i="14"/>
  <c r="I72" i="1"/>
  <c r="BE72" i="21"/>
  <c r="BE80" i="21"/>
  <c r="BE90" i="21"/>
  <c r="C75" i="1"/>
  <c r="BT75" i="2"/>
  <c r="AC101" i="2"/>
  <c r="AC98" i="2"/>
  <c r="AC96" i="2"/>
  <c r="AC97" i="2"/>
  <c r="AC95" i="2"/>
  <c r="H102" i="26"/>
  <c r="H104" i="26"/>
  <c r="D102" i="26"/>
  <c r="D104" i="26"/>
  <c r="AD98" i="2"/>
  <c r="BF102" i="2"/>
  <c r="BF104" i="2"/>
  <c r="AM75" i="17"/>
  <c r="F75" i="1"/>
  <c r="AR102" i="21"/>
  <c r="AR104" i="21"/>
  <c r="AR190" i="21"/>
  <c r="AR192" i="21"/>
  <c r="I17" i="23"/>
  <c r="AD95" i="2"/>
  <c r="AD96" i="2"/>
  <c r="AD97" i="2"/>
  <c r="BG96" i="2"/>
  <c r="AS96" i="21"/>
  <c r="L102" i="3"/>
  <c r="L104" i="3"/>
  <c r="L191" i="3"/>
  <c r="K63" i="23"/>
  <c r="L125" i="14"/>
  <c r="F80" i="3"/>
  <c r="AD101" i="2"/>
  <c r="AH80" i="2"/>
  <c r="AH90" i="2"/>
  <c r="K51" i="23"/>
  <c r="E90" i="3"/>
  <c r="E101" i="3"/>
  <c r="AA101" i="17"/>
  <c r="E98" i="3"/>
  <c r="AA98" i="17"/>
  <c r="E96" i="3"/>
  <c r="AA96" i="17"/>
  <c r="E95" i="3"/>
  <c r="E97" i="3"/>
  <c r="AA97" i="17"/>
  <c r="K94" i="23"/>
  <c r="K98" i="3"/>
  <c r="AC98" i="17"/>
  <c r="K101" i="3"/>
  <c r="AC101" i="17"/>
  <c r="K95" i="3"/>
  <c r="K90" i="3"/>
  <c r="K97" i="3"/>
  <c r="AC97" i="17"/>
  <c r="K96" i="3"/>
  <c r="AC96" i="17"/>
  <c r="AQ95" i="21"/>
  <c r="BE95" i="2"/>
  <c r="AQ96" i="21"/>
  <c r="BE96" i="2"/>
  <c r="BE98" i="2"/>
  <c r="AQ98" i="21"/>
  <c r="BE101" i="2"/>
  <c r="AQ101" i="21"/>
  <c r="AQ97" i="21"/>
  <c r="BE97" i="2"/>
  <c r="BD101" i="2"/>
  <c r="Z101" i="17"/>
  <c r="AP101" i="21"/>
  <c r="AP98" i="21"/>
  <c r="Z98" i="17"/>
  <c r="BD98" i="2"/>
  <c r="AP95" i="21"/>
  <c r="BD95" i="2"/>
  <c r="Z95" i="17"/>
  <c r="AP97" i="21"/>
  <c r="BD97" i="2"/>
  <c r="Z97" i="17"/>
  <c r="AP96" i="21"/>
  <c r="Z96" i="17"/>
  <c r="BD96" i="2"/>
  <c r="F101" i="17"/>
  <c r="BF190" i="2"/>
  <c r="BF192" i="2"/>
  <c r="D80" i="7"/>
  <c r="I72" i="7"/>
  <c r="I80" i="7"/>
  <c r="I90" i="7"/>
  <c r="H28" i="12"/>
  <c r="J28" i="12"/>
  <c r="F29" i="12"/>
  <c r="F96" i="17"/>
  <c r="F95" i="17"/>
  <c r="C90" i="6"/>
  <c r="F90" i="26"/>
  <c r="F98" i="17"/>
  <c r="F97" i="17"/>
  <c r="F13" i="15"/>
  <c r="F106" i="12"/>
  <c r="H106" i="12"/>
  <c r="J106" i="12"/>
  <c r="D107" i="12"/>
  <c r="J98" i="3"/>
  <c r="D90" i="8"/>
  <c r="AQ90" i="21"/>
  <c r="J90" i="3"/>
  <c r="J97" i="3"/>
  <c r="D102" i="3"/>
  <c r="D104" i="3"/>
  <c r="D191" i="3"/>
  <c r="BE90" i="2"/>
  <c r="J101" i="3"/>
  <c r="BG80" i="2"/>
  <c r="BQ76" i="2"/>
  <c r="C102" i="3"/>
  <c r="C104" i="3"/>
  <c r="H165" i="14"/>
  <c r="J165" i="14"/>
  <c r="F166" i="14"/>
  <c r="AA90" i="17"/>
  <c r="AS80" i="21"/>
  <c r="BB76" i="21"/>
  <c r="I76" i="1"/>
  <c r="J95" i="3"/>
  <c r="AC80" i="17"/>
  <c r="AM76" i="17"/>
  <c r="H102" i="21"/>
  <c r="H104" i="21"/>
  <c r="H190" i="21"/>
  <c r="H192" i="21"/>
  <c r="D189" i="14"/>
  <c r="G97" i="2"/>
  <c r="D98" i="8"/>
  <c r="BL98" i="2"/>
  <c r="D97" i="8"/>
  <c r="BL97" i="2"/>
  <c r="D95" i="8"/>
  <c r="BL95" i="2"/>
  <c r="H129" i="14"/>
  <c r="J127" i="14"/>
  <c r="L126" i="14"/>
  <c r="G96" i="2"/>
  <c r="G98" i="2"/>
  <c r="G101" i="2"/>
  <c r="G95" i="2"/>
  <c r="F66" i="13"/>
  <c r="H66" i="13"/>
  <c r="J66" i="13"/>
  <c r="D101" i="8"/>
  <c r="BL101" i="2"/>
  <c r="D96" i="8"/>
  <c r="BL96" i="2"/>
  <c r="H141" i="14"/>
  <c r="D31" i="14"/>
  <c r="F30" i="14"/>
  <c r="H30" i="14"/>
  <c r="I44" i="23"/>
  <c r="W97" i="2"/>
  <c r="I80" i="1"/>
  <c r="I90" i="1"/>
  <c r="O75" i="1"/>
  <c r="C76" i="1"/>
  <c r="BT76" i="2"/>
  <c r="AC102" i="2"/>
  <c r="AC104" i="2"/>
  <c r="AC190" i="2"/>
  <c r="AC192" i="2"/>
  <c r="H192" i="26"/>
  <c r="H190" i="26"/>
  <c r="D190" i="26"/>
  <c r="D192" i="26"/>
  <c r="AD102" i="2"/>
  <c r="AD104" i="2"/>
  <c r="AD190" i="2"/>
  <c r="AD192" i="2"/>
  <c r="H80" i="2"/>
  <c r="BQ72" i="2"/>
  <c r="C72" i="1"/>
  <c r="P73" i="2"/>
  <c r="P80" i="2"/>
  <c r="P90" i="2"/>
  <c r="K44" i="23"/>
  <c r="F90" i="3"/>
  <c r="F101" i="3"/>
  <c r="F98" i="3"/>
  <c r="F95" i="3"/>
  <c r="F97" i="3"/>
  <c r="F96" i="3"/>
  <c r="K80" i="2"/>
  <c r="K90" i="2"/>
  <c r="K8" i="23"/>
  <c r="BG95" i="2"/>
  <c r="AS95" i="21"/>
  <c r="BB95" i="21"/>
  <c r="BE95" i="21"/>
  <c r="AS97" i="21"/>
  <c r="BG97" i="2"/>
  <c r="BG98" i="2"/>
  <c r="AS98" i="21"/>
  <c r="BB98" i="21"/>
  <c r="BD102" i="2"/>
  <c r="BD104" i="2"/>
  <c r="BD190" i="2"/>
  <c r="AP102" i="21"/>
  <c r="AP104" i="21"/>
  <c r="AP190" i="21"/>
  <c r="AP192" i="21"/>
  <c r="G80" i="17"/>
  <c r="AM72" i="17"/>
  <c r="F72" i="1"/>
  <c r="K17" i="23"/>
  <c r="D94" i="14"/>
  <c r="D95" i="14"/>
  <c r="D96" i="14"/>
  <c r="D97" i="14"/>
  <c r="D98" i="14"/>
  <c r="D99" i="14"/>
  <c r="D100" i="14"/>
  <c r="D101" i="14"/>
  <c r="I7" i="23"/>
  <c r="BG101" i="2"/>
  <c r="AS101" i="21"/>
  <c r="BB101" i="21"/>
  <c r="I101" i="1"/>
  <c r="AC95" i="17"/>
  <c r="K102" i="3"/>
  <c r="K104" i="3"/>
  <c r="K191" i="3"/>
  <c r="AA95" i="17"/>
  <c r="AA102" i="17"/>
  <c r="AA104" i="17"/>
  <c r="AA192" i="17"/>
  <c r="E102" i="3"/>
  <c r="E104" i="3"/>
  <c r="E191" i="3"/>
  <c r="Z102" i="17"/>
  <c r="Z104" i="17"/>
  <c r="Z192" i="17"/>
  <c r="J102" i="3"/>
  <c r="J104" i="3"/>
  <c r="J191" i="3"/>
  <c r="D102" i="8"/>
  <c r="D104" i="8"/>
  <c r="F102" i="17"/>
  <c r="F104" i="17"/>
  <c r="D90" i="7"/>
  <c r="D96" i="7"/>
  <c r="D101" i="7"/>
  <c r="D97" i="7"/>
  <c r="D95" i="7"/>
  <c r="K95" i="26"/>
  <c r="D98" i="7"/>
  <c r="C95" i="6"/>
  <c r="C96" i="6"/>
  <c r="F30" i="12"/>
  <c r="H29" i="12"/>
  <c r="J29" i="12"/>
  <c r="C101" i="6"/>
  <c r="C97" i="6"/>
  <c r="C98" i="6"/>
  <c r="F14" i="15"/>
  <c r="H14" i="15"/>
  <c r="J14" i="15"/>
  <c r="L14" i="15"/>
  <c r="H13" i="15"/>
  <c r="J13" i="15"/>
  <c r="L13" i="15"/>
  <c r="F107" i="12"/>
  <c r="H107" i="12"/>
  <c r="J107" i="12"/>
  <c r="D108" i="12"/>
  <c r="BE102" i="2"/>
  <c r="BE104" i="2"/>
  <c r="BE190" i="2"/>
  <c r="BB80" i="21"/>
  <c r="BB90" i="21"/>
  <c r="BL102" i="2"/>
  <c r="BL104" i="2"/>
  <c r="AC90" i="17"/>
  <c r="AQ102" i="21"/>
  <c r="AQ104" i="21"/>
  <c r="AQ190" i="21"/>
  <c r="AQ192" i="21"/>
  <c r="BB96" i="21"/>
  <c r="AS90" i="21"/>
  <c r="F76" i="1"/>
  <c r="H166" i="14"/>
  <c r="J166" i="14"/>
  <c r="F167" i="14"/>
  <c r="BG90" i="2"/>
  <c r="D190" i="14"/>
  <c r="D191" i="14"/>
  <c r="D192" i="14"/>
  <c r="D193" i="14"/>
  <c r="D194" i="14"/>
  <c r="D195" i="14"/>
  <c r="D196" i="14"/>
  <c r="AM61" i="17"/>
  <c r="G102" i="2"/>
  <c r="G104" i="2"/>
  <c r="G190" i="2"/>
  <c r="G192" i="2"/>
  <c r="J128" i="14"/>
  <c r="L127" i="14"/>
  <c r="J129" i="14"/>
  <c r="L128" i="14"/>
  <c r="L129" i="14"/>
  <c r="F67" i="13"/>
  <c r="H67" i="13"/>
  <c r="J67" i="13"/>
  <c r="H142" i="14"/>
  <c r="H143" i="14"/>
  <c r="D32" i="14"/>
  <c r="F31" i="14"/>
  <c r="H31" i="14"/>
  <c r="W96" i="2"/>
  <c r="W101" i="2"/>
  <c r="W98" i="2"/>
  <c r="W95" i="2"/>
  <c r="F102" i="3"/>
  <c r="F104" i="3"/>
  <c r="F191" i="3"/>
  <c r="O76" i="1"/>
  <c r="Z190" i="17"/>
  <c r="I96" i="1"/>
  <c r="BE96" i="21"/>
  <c r="I98" i="1"/>
  <c r="BE98" i="21"/>
  <c r="BD192" i="2"/>
  <c r="K96" i="2"/>
  <c r="F97" i="26"/>
  <c r="H97" i="6"/>
  <c r="F96" i="26"/>
  <c r="H96" i="6"/>
  <c r="I97" i="7"/>
  <c r="K97" i="26"/>
  <c r="F66" i="17"/>
  <c r="F68" i="17"/>
  <c r="F192" i="17"/>
  <c r="F190" i="17"/>
  <c r="F101" i="26"/>
  <c r="H101" i="6"/>
  <c r="F95" i="26"/>
  <c r="H95" i="6"/>
  <c r="I101" i="7"/>
  <c r="K101" i="26"/>
  <c r="I98" i="7"/>
  <c r="K98" i="26"/>
  <c r="I96" i="7"/>
  <c r="K96" i="26"/>
  <c r="K102" i="26"/>
  <c r="K104" i="26"/>
  <c r="F98" i="26"/>
  <c r="H98" i="6"/>
  <c r="C102" i="6"/>
  <c r="K95" i="2"/>
  <c r="J74" i="2"/>
  <c r="D74" i="2"/>
  <c r="K7" i="23"/>
  <c r="K56" i="23"/>
  <c r="E73" i="17"/>
  <c r="K92" i="23"/>
  <c r="H90" i="2"/>
  <c r="H97" i="2"/>
  <c r="H96" i="2"/>
  <c r="H95" i="2"/>
  <c r="H101" i="2"/>
  <c r="H98" i="2"/>
  <c r="K101" i="2"/>
  <c r="K97" i="2"/>
  <c r="G101" i="17"/>
  <c r="G95" i="17"/>
  <c r="G90" i="17"/>
  <c r="G96" i="17"/>
  <c r="G97" i="17"/>
  <c r="G98" i="17"/>
  <c r="K98" i="2"/>
  <c r="T80" i="2"/>
  <c r="E74" i="2"/>
  <c r="I95" i="7"/>
  <c r="D102" i="7"/>
  <c r="D104" i="7"/>
  <c r="F31" i="12"/>
  <c r="H30" i="12"/>
  <c r="J30" i="12"/>
  <c r="C72" i="8"/>
  <c r="J72" i="26"/>
  <c r="K79" i="23"/>
  <c r="D16" i="15"/>
  <c r="H15" i="15"/>
  <c r="J15" i="15"/>
  <c r="L15" i="15"/>
  <c r="F108" i="12"/>
  <c r="H108" i="12"/>
  <c r="J108" i="12"/>
  <c r="D109" i="12"/>
  <c r="AA190" i="17"/>
  <c r="BE192" i="2"/>
  <c r="BG102" i="2"/>
  <c r="BG104" i="2"/>
  <c r="BG190" i="2"/>
  <c r="BL190" i="2"/>
  <c r="BL192" i="2"/>
  <c r="I95" i="1"/>
  <c r="AS102" i="21"/>
  <c r="AS104" i="21"/>
  <c r="AS190" i="21"/>
  <c r="AS192" i="21"/>
  <c r="BB97" i="21"/>
  <c r="I97" i="1"/>
  <c r="F168" i="14"/>
  <c r="H168" i="14"/>
  <c r="J168" i="14"/>
  <c r="H167" i="14"/>
  <c r="J167" i="14"/>
  <c r="AC102" i="17"/>
  <c r="AC104" i="17"/>
  <c r="AR80" i="2"/>
  <c r="E73" i="2"/>
  <c r="W102" i="2"/>
  <c r="W104" i="2"/>
  <c r="W190" i="2"/>
  <c r="W192" i="2"/>
  <c r="AM66" i="17"/>
  <c r="AM68" i="17"/>
  <c r="F61" i="1"/>
  <c r="O61" i="1"/>
  <c r="D33" i="14"/>
  <c r="F32" i="14"/>
  <c r="H32" i="14"/>
  <c r="F68" i="13"/>
  <c r="H68" i="13"/>
  <c r="J68" i="13"/>
  <c r="BE102" i="21"/>
  <c r="BE104" i="21"/>
  <c r="BE190" i="21"/>
  <c r="BE192" i="21"/>
  <c r="J80" i="26"/>
  <c r="J90" i="26"/>
  <c r="T72" i="26"/>
  <c r="W72" i="26"/>
  <c r="W80" i="26"/>
  <c r="K192" i="26"/>
  <c r="K190" i="26"/>
  <c r="I102" i="7"/>
  <c r="I104" i="7"/>
  <c r="I191" i="7"/>
  <c r="H102" i="6"/>
  <c r="H104" i="6"/>
  <c r="H191" i="6"/>
  <c r="C104" i="6"/>
  <c r="F102" i="26"/>
  <c r="K102" i="2"/>
  <c r="K104" i="2"/>
  <c r="K190" i="2"/>
  <c r="K192" i="2"/>
  <c r="G102" i="17"/>
  <c r="G104" i="17"/>
  <c r="BA80" i="2"/>
  <c r="F73" i="2"/>
  <c r="F80" i="2"/>
  <c r="T97" i="2"/>
  <c r="T95" i="2"/>
  <c r="T98" i="2"/>
  <c r="T96" i="2"/>
  <c r="T90" i="2"/>
  <c r="T101" i="2"/>
  <c r="X80" i="17"/>
  <c r="E80" i="2"/>
  <c r="E90" i="2"/>
  <c r="H102" i="2"/>
  <c r="H104" i="2"/>
  <c r="H190" i="2"/>
  <c r="H192" i="2"/>
  <c r="BQ74" i="2"/>
  <c r="C74" i="1"/>
  <c r="O74" i="1"/>
  <c r="D191" i="7"/>
  <c r="D193" i="7"/>
  <c r="I193" i="7"/>
  <c r="O66" i="1"/>
  <c r="F32" i="12"/>
  <c r="H31" i="12"/>
  <c r="J31" i="12"/>
  <c r="BG192" i="2"/>
  <c r="D17" i="15"/>
  <c r="F16" i="15"/>
  <c r="H16" i="15"/>
  <c r="J16" i="15"/>
  <c r="L16" i="15"/>
  <c r="H72" i="8"/>
  <c r="C80" i="8"/>
  <c r="F109" i="12"/>
  <c r="H109" i="12"/>
  <c r="J109" i="12"/>
  <c r="D110" i="12"/>
  <c r="F110" i="12"/>
  <c r="H110" i="12"/>
  <c r="J110" i="12"/>
  <c r="I102" i="1"/>
  <c r="I104" i="1"/>
  <c r="AC192" i="17"/>
  <c r="AC190" i="17"/>
  <c r="BB102" i="21"/>
  <c r="BB104" i="21"/>
  <c r="BB190" i="21"/>
  <c r="BB192" i="21"/>
  <c r="AR90" i="2"/>
  <c r="AR95" i="2"/>
  <c r="AR97" i="2"/>
  <c r="AR96" i="2"/>
  <c r="AR101" i="2"/>
  <c r="AR98" i="2"/>
  <c r="F66" i="1"/>
  <c r="D97" i="11"/>
  <c r="BN97" i="2"/>
  <c r="D96" i="11"/>
  <c r="BN96" i="2"/>
  <c r="D101" i="11"/>
  <c r="BN101" i="2"/>
  <c r="D98" i="11"/>
  <c r="BN98" i="2"/>
  <c r="D95" i="11"/>
  <c r="BN95" i="2"/>
  <c r="F69" i="13"/>
  <c r="H69" i="13"/>
  <c r="J69" i="13"/>
  <c r="F33" i="14"/>
  <c r="H33" i="14"/>
  <c r="D34" i="14"/>
  <c r="F34" i="14"/>
  <c r="H34" i="14"/>
  <c r="AH97" i="2"/>
  <c r="AG97" i="2"/>
  <c r="W90" i="26"/>
  <c r="W104" i="26"/>
  <c r="W190" i="26"/>
  <c r="W192" i="26"/>
  <c r="G192" i="17"/>
  <c r="G190" i="17"/>
  <c r="T80" i="26"/>
  <c r="T90" i="26"/>
  <c r="L72" i="1"/>
  <c r="O72" i="1"/>
  <c r="C191" i="6"/>
  <c r="F104" i="26"/>
  <c r="E80" i="17"/>
  <c r="E90" i="17"/>
  <c r="AM73" i="17"/>
  <c r="F90" i="2"/>
  <c r="F95" i="2"/>
  <c r="F97" i="2"/>
  <c r="F101" i="2"/>
  <c r="F96" i="2"/>
  <c r="F98" i="2"/>
  <c r="X97" i="17"/>
  <c r="E97" i="17"/>
  <c r="AM97" i="17"/>
  <c r="F97" i="1"/>
  <c r="X101" i="17"/>
  <c r="E101" i="17"/>
  <c r="AM101" i="17"/>
  <c r="F101" i="1"/>
  <c r="X96" i="17"/>
  <c r="E96" i="17"/>
  <c r="AM96" i="17"/>
  <c r="F96" i="1"/>
  <c r="X95" i="17"/>
  <c r="X98" i="17"/>
  <c r="E98" i="17"/>
  <c r="AM98" i="17"/>
  <c r="F98" i="1"/>
  <c r="X90" i="17"/>
  <c r="BA90" i="2"/>
  <c r="BA101" i="2"/>
  <c r="BA96" i="2"/>
  <c r="BA95" i="2"/>
  <c r="BA97" i="2"/>
  <c r="BA98" i="2"/>
  <c r="T102" i="2"/>
  <c r="T104" i="2"/>
  <c r="T190" i="2"/>
  <c r="T192" i="2"/>
  <c r="D102" i="11"/>
  <c r="D104" i="11"/>
  <c r="F33" i="12"/>
  <c r="H32" i="12"/>
  <c r="J32" i="12"/>
  <c r="C90" i="8"/>
  <c r="C101" i="8"/>
  <c r="C96" i="8"/>
  <c r="C98" i="8"/>
  <c r="C97" i="8"/>
  <c r="C95" i="8"/>
  <c r="H80" i="8"/>
  <c r="D18" i="15"/>
  <c r="F18" i="15"/>
  <c r="H18" i="15"/>
  <c r="J18" i="15"/>
  <c r="L18" i="15"/>
  <c r="F17" i="15"/>
  <c r="H17" i="15"/>
  <c r="J17" i="15"/>
  <c r="L17" i="15"/>
  <c r="BN102" i="2"/>
  <c r="BN104" i="2"/>
  <c r="BN192" i="2"/>
  <c r="I190" i="1"/>
  <c r="I192" i="1"/>
  <c r="AR102" i="2"/>
  <c r="AR104" i="2"/>
  <c r="AR190" i="2"/>
  <c r="AR192" i="2"/>
  <c r="F68" i="1"/>
  <c r="F70" i="13"/>
  <c r="H70" i="13"/>
  <c r="J70" i="13"/>
  <c r="AG96" i="2"/>
  <c r="AG101" i="2"/>
  <c r="AG95" i="2"/>
  <c r="AG98" i="2"/>
  <c r="AH101" i="2"/>
  <c r="AH98" i="2"/>
  <c r="AH96" i="2"/>
  <c r="AH95" i="2"/>
  <c r="P97" i="2"/>
  <c r="E97" i="2"/>
  <c r="H98" i="8"/>
  <c r="J98" i="26"/>
  <c r="H96" i="8"/>
  <c r="J96" i="26"/>
  <c r="J95" i="26"/>
  <c r="C102" i="8"/>
  <c r="H101" i="8"/>
  <c r="J101" i="26"/>
  <c r="H97" i="8"/>
  <c r="J97" i="26"/>
  <c r="H90" i="8"/>
  <c r="C104" i="8"/>
  <c r="F190" i="26"/>
  <c r="F192" i="26"/>
  <c r="X102" i="17"/>
  <c r="X104" i="17"/>
  <c r="E95" i="17"/>
  <c r="F73" i="1"/>
  <c r="F80" i="1"/>
  <c r="F90" i="1"/>
  <c r="AM80" i="17"/>
  <c r="AM90" i="17"/>
  <c r="I11" i="23"/>
  <c r="BA102" i="2"/>
  <c r="BA104" i="2"/>
  <c r="BA190" i="2"/>
  <c r="BA192" i="2"/>
  <c r="F102" i="2"/>
  <c r="F104" i="2"/>
  <c r="F190" i="2"/>
  <c r="F192" i="2"/>
  <c r="F34" i="12"/>
  <c r="H33" i="12"/>
  <c r="J33" i="12"/>
  <c r="H95" i="8"/>
  <c r="K98" i="23"/>
  <c r="C80" i="11"/>
  <c r="C90" i="11"/>
  <c r="H72" i="11"/>
  <c r="H80" i="11"/>
  <c r="BN190" i="2"/>
  <c r="AG102" i="2"/>
  <c r="AG104" i="2"/>
  <c r="AG190" i="2"/>
  <c r="AG192" i="2"/>
  <c r="AH102" i="2"/>
  <c r="AH104" i="2"/>
  <c r="AH190" i="2"/>
  <c r="AH192" i="2"/>
  <c r="F71" i="13"/>
  <c r="H71" i="13"/>
  <c r="J71" i="13"/>
  <c r="P96" i="2"/>
  <c r="E96" i="2"/>
  <c r="P98" i="2"/>
  <c r="E98" i="2"/>
  <c r="P95" i="2"/>
  <c r="P101" i="2"/>
  <c r="E101" i="2"/>
  <c r="X192" i="17"/>
  <c r="X190" i="17"/>
  <c r="F193" i="2"/>
  <c r="J102" i="26"/>
  <c r="J104" i="26"/>
  <c r="H102" i="8"/>
  <c r="H104" i="8"/>
  <c r="K11" i="23"/>
  <c r="E102" i="17"/>
  <c r="E104" i="17"/>
  <c r="AM95" i="17"/>
  <c r="F35" i="12"/>
  <c r="H35" i="12"/>
  <c r="J35" i="12"/>
  <c r="H34" i="12"/>
  <c r="J34" i="12"/>
  <c r="C101" i="11"/>
  <c r="C96" i="11"/>
  <c r="C95" i="11"/>
  <c r="O95" i="26"/>
  <c r="T95" i="26"/>
  <c r="L95" i="1"/>
  <c r="C97" i="11"/>
  <c r="C98" i="11"/>
  <c r="H90" i="11"/>
  <c r="P102" i="2"/>
  <c r="P104" i="2"/>
  <c r="P190" i="2"/>
  <c r="P192" i="2"/>
  <c r="E95" i="2"/>
  <c r="F72" i="13"/>
  <c r="H72" i="13"/>
  <c r="J72" i="13"/>
  <c r="H96" i="11"/>
  <c r="O96" i="26"/>
  <c r="T96" i="26"/>
  <c r="L96" i="1"/>
  <c r="H98" i="11"/>
  <c r="O98" i="26"/>
  <c r="T98" i="26"/>
  <c r="L98" i="1"/>
  <c r="H101" i="11"/>
  <c r="O101" i="26"/>
  <c r="T101" i="26"/>
  <c r="L101" i="1"/>
  <c r="H97" i="11"/>
  <c r="O97" i="26"/>
  <c r="T97" i="26"/>
  <c r="J192" i="26"/>
  <c r="J190" i="26"/>
  <c r="E190" i="17"/>
  <c r="E192" i="17"/>
  <c r="E193" i="17"/>
  <c r="F95" i="1"/>
  <c r="F102" i="1"/>
  <c r="F104" i="1"/>
  <c r="F190" i="1"/>
  <c r="AM102" i="17"/>
  <c r="AM104" i="17"/>
  <c r="AM190" i="17"/>
  <c r="AM192" i="17"/>
  <c r="J80" i="2"/>
  <c r="D73" i="2"/>
  <c r="C102" i="11"/>
  <c r="C104" i="11"/>
  <c r="C191" i="8"/>
  <c r="H95" i="11"/>
  <c r="E102" i="2"/>
  <c r="E104" i="2"/>
  <c r="E190" i="2"/>
  <c r="E192" i="2"/>
  <c r="D74" i="13"/>
  <c r="F73" i="13"/>
  <c r="H73" i="13"/>
  <c r="J73" i="13"/>
  <c r="T102" i="26"/>
  <c r="T104" i="26"/>
  <c r="L97" i="1"/>
  <c r="O102" i="26"/>
  <c r="O104" i="26"/>
  <c r="BQ73" i="2"/>
  <c r="BT73" i="2"/>
  <c r="BT80" i="2"/>
  <c r="BT90" i="2"/>
  <c r="D80" i="2"/>
  <c r="J90" i="2"/>
  <c r="J97" i="2"/>
  <c r="J101" i="2"/>
  <c r="J96" i="2"/>
  <c r="J98" i="2"/>
  <c r="J95" i="2"/>
  <c r="H102" i="11"/>
  <c r="H104" i="11"/>
  <c r="L80" i="1"/>
  <c r="L90" i="1"/>
  <c r="E193" i="2"/>
  <c r="F74" i="13"/>
  <c r="H74" i="13"/>
  <c r="J74" i="13"/>
  <c r="D75" i="13"/>
  <c r="BT101" i="2"/>
  <c r="BT93" i="2"/>
  <c r="BT97" i="2"/>
  <c r="BT94" i="2"/>
  <c r="O190" i="26"/>
  <c r="O192" i="26"/>
  <c r="D90" i="2"/>
  <c r="D95" i="2"/>
  <c r="D98" i="2"/>
  <c r="BQ98" i="2"/>
  <c r="C98" i="1"/>
  <c r="O98" i="1"/>
  <c r="D97" i="2"/>
  <c r="BQ97" i="2"/>
  <c r="C97" i="1"/>
  <c r="O97" i="1"/>
  <c r="D96" i="2"/>
  <c r="BQ96" i="2"/>
  <c r="D101" i="2"/>
  <c r="BQ101" i="2"/>
  <c r="C101" i="1"/>
  <c r="O101" i="1"/>
  <c r="BQ80" i="2"/>
  <c r="BQ90" i="2"/>
  <c r="C73" i="1"/>
  <c r="O73" i="1"/>
  <c r="J102" i="2"/>
  <c r="J104" i="2"/>
  <c r="J190" i="2"/>
  <c r="J192" i="2"/>
  <c r="C191" i="11"/>
  <c r="D76" i="13"/>
  <c r="F75" i="13"/>
  <c r="H75" i="13"/>
  <c r="J75" i="13"/>
  <c r="C96" i="1"/>
  <c r="O96" i="1"/>
  <c r="BT96" i="2"/>
  <c r="BT102" i="2"/>
  <c r="BT104" i="2"/>
  <c r="BT190" i="2"/>
  <c r="BT192" i="2"/>
  <c r="O80" i="1"/>
  <c r="O90" i="1"/>
  <c r="C80" i="1"/>
  <c r="C90" i="1"/>
  <c r="D102" i="2"/>
  <c r="D104" i="2"/>
  <c r="D190" i="2"/>
  <c r="D192" i="2"/>
  <c r="D193" i="2"/>
  <c r="BQ95" i="2"/>
  <c r="L102" i="1"/>
  <c r="D77" i="13"/>
  <c r="F77" i="13"/>
  <c r="H77" i="13"/>
  <c r="J77" i="13"/>
  <c r="F76" i="13"/>
  <c r="H76" i="13"/>
  <c r="J76" i="13"/>
  <c r="C95" i="1"/>
  <c r="O95" i="1"/>
  <c r="BQ102" i="2"/>
  <c r="BQ104" i="2"/>
  <c r="BQ190" i="2"/>
  <c r="BQ192" i="2"/>
  <c r="L104" i="1"/>
  <c r="C188" i="3"/>
  <c r="C188" i="4"/>
  <c r="C192" i="4"/>
  <c r="C188" i="2"/>
  <c r="R185" i="26"/>
  <c r="T185" i="26"/>
  <c r="L185" i="1"/>
  <c r="O185" i="1"/>
  <c r="R186" i="26"/>
  <c r="R188" i="26"/>
  <c r="C102" i="1"/>
  <c r="C104" i="1"/>
  <c r="C190" i="1"/>
  <c r="O102" i="1"/>
  <c r="O104" i="1"/>
  <c r="C191" i="3"/>
  <c r="A193" i="7"/>
  <c r="C192" i="17"/>
  <c r="C190" i="2"/>
  <c r="C192" i="2"/>
  <c r="D188" i="11"/>
  <c r="R192" i="26"/>
  <c r="R190" i="26"/>
  <c r="C192" i="5"/>
  <c r="D191" i="11"/>
  <c r="H188" i="11"/>
  <c r="D188" i="8"/>
  <c r="I188" i="10"/>
  <c r="D191" i="8"/>
  <c r="H188" i="8"/>
  <c r="H191" i="11"/>
  <c r="F192" i="1"/>
  <c r="H191" i="8"/>
  <c r="C192" i="1"/>
  <c r="BO188" i="2"/>
  <c r="BO192" i="2"/>
  <c r="BO190" i="2"/>
  <c r="T32" i="26"/>
  <c r="L32" i="1"/>
  <c r="O32" i="1"/>
  <c r="C38" i="26"/>
  <c r="C68" i="26"/>
  <c r="C184" i="26"/>
  <c r="T38" i="26"/>
  <c r="T68" i="26"/>
  <c r="C186" i="26"/>
  <c r="C188" i="26"/>
  <c r="T184" i="26"/>
  <c r="C190" i="26"/>
  <c r="C192" i="26"/>
  <c r="L184" i="1"/>
  <c r="O184" i="1"/>
  <c r="T186" i="26"/>
  <c r="T188" i="26"/>
  <c r="O38" i="1"/>
  <c r="O68" i="1"/>
  <c r="L38" i="1"/>
  <c r="L68" i="1"/>
  <c r="T190" i="26"/>
  <c r="T192" i="26"/>
  <c r="L186" i="1"/>
  <c r="L188" i="1"/>
  <c r="O186" i="1"/>
  <c r="O188" i="1"/>
  <c r="O190" i="1"/>
  <c r="O192" i="1"/>
  <c r="L190" i="1"/>
  <c r="L192" i="1"/>
</calcChain>
</file>

<file path=xl/comments1.xml><?xml version="1.0" encoding="utf-8"?>
<comments xmlns="http://schemas.openxmlformats.org/spreadsheetml/2006/main">
  <authors>
    <author>Sean Wilson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IDEA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IDEA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GCR</t>
        </r>
      </text>
    </comment>
    <comment ref="D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includes construction services.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J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M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</commentList>
</comments>
</file>

<file path=xl/comments10.xml><?xml version="1.0" encoding="utf-8"?>
<comments xmlns="http://schemas.openxmlformats.org/spreadsheetml/2006/main">
  <authors>
    <author>Sean Wilson</author>
    <author>ALE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D78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Ruby = 21,184 (10.18)
Doris = 21,184
Emilyn = 18,824 (9.05)
Vacant = 18,824</t>
        </r>
      </text>
    </comment>
    <comment ref="E78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Theresa = 18,822
</t>
        </r>
      </text>
    </comment>
    <comment ref="F78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3 x 18824
(9.05)
</t>
        </r>
      </text>
    </comment>
    <comment ref="D79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Robert=39,437 (18.96)
Miguel=20,800 (10)</t>
        </r>
      </text>
    </comment>
    <comment ref="E79" authorId="1">
      <text>
        <r>
          <rPr>
            <b/>
            <sz val="9"/>
            <color indexed="81"/>
            <rFont val="Tahoma"/>
            <family val="2"/>
          </rPr>
          <t>ALE
Julius=27,062</t>
        </r>
      </text>
    </comment>
    <comment ref="F79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Harris (lead) = 24,766 (11.91)
maintenance = 20800 (10)
</t>
        </r>
      </text>
    </comment>
    <comment ref="F85" authorId="1">
      <text>
        <r>
          <rPr>
            <b/>
            <sz val="9"/>
            <color indexed="81"/>
            <rFont val="Tahoma"/>
            <family val="2"/>
          </rPr>
          <t xml:space="preserve">AL
moving to bunch= 15k
10k for remaining of the yr
</t>
        </r>
      </text>
    </comment>
    <comment ref="D114" authorId="2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Al's Pest Control ($3900), ITS Fire ($3500), Consulting ($1,000), Fire Extinguisher ($600), Miscellaneous Insepctions ($500)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Vehicle maintenance</t>
        </r>
      </text>
    </comment>
    <comment ref="D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Siemens and general repairs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$610 per student
Modular Lease $5,300/month
</t>
        </r>
      </text>
    </comment>
    <comment ref="E13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HNM and Modular lease</t>
        </r>
      </text>
    </comment>
    <comment ref="F13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$607 per student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$107 per student</t>
        </r>
      </text>
    </comment>
    <comment ref="F13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$107 per student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Modular installation
</t>
        </r>
      </text>
    </comment>
  </commentList>
</comments>
</file>

<file path=xl/comments11.xml><?xml version="1.0" encoding="utf-8"?>
<comments xmlns="http://schemas.openxmlformats.org/spreadsheetml/2006/main">
  <authors>
    <author>jkurtz</author>
    <author>Jennifer Kurtz</author>
  </authors>
  <commentList>
    <comment ref="D113" authorId="0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Financial Audit, Federal Single Audit, Form 990, 5500 Audit
$7,500 Audit for JP
Increased to reflect condensed timeline and additional performance.</t>
        </r>
      </text>
    </comment>
    <comment ref="E126" authorId="1">
      <text>
        <r>
          <rPr>
            <b/>
            <sz val="9"/>
            <color indexed="81"/>
            <rFont val="Tahoma"/>
            <family val="2"/>
          </rPr>
          <t>Saen W:</t>
        </r>
        <r>
          <rPr>
            <sz val="9"/>
            <color indexed="81"/>
            <rFont val="Tahoma"/>
            <family val="2"/>
          </rPr>
          <t xml:space="preserve">
Shredding services
reduced to true cost</t>
        </r>
      </text>
    </comment>
    <comment ref="E175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$12K Bank analysis and credit card processing fees, $300 misc dues</t>
        </r>
      </text>
    </comment>
  </commentList>
</comments>
</file>

<file path=xl/comments12.xml><?xml version="1.0" encoding="utf-8"?>
<comments xmlns="http://schemas.openxmlformats.org/spreadsheetml/2006/main">
  <authors>
    <author>Sean Wilson</author>
    <author>mboudreaux</author>
    <author>Jennifer Kurtz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Increase of $5k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Add Admin Assistant for clerical and operational duties.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 xml:space="preserve">Melissa Boudreaux:
Bunche - Full service kitchen
1 Lead, 3 Service Workers
</t>
        </r>
        <r>
          <rPr>
            <sz val="9"/>
            <color indexed="81"/>
            <rFont val="Tahoma"/>
            <family val="2"/>
          </rPr>
          <t>1.  Lead - $24,831 (Y. White)
2. 1 Head Chef $22,790
3. Service Worker/Asst. Chef  $20,790
4. Service Worker(N. Solis) $16,416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mboudreaux:</t>
        </r>
        <r>
          <rPr>
            <sz val="9"/>
            <color indexed="81"/>
            <rFont val="Tahoma"/>
            <family val="2"/>
          </rPr>
          <t xml:space="preserve">
28 PTO day (4 Service Workers)
Temps Today ($100/day)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 xml:space="preserve">mboudreaux:
</t>
        </r>
        <r>
          <rPr>
            <sz val="9"/>
            <color indexed="81"/>
            <rFont val="Tahoma"/>
            <family val="2"/>
          </rPr>
          <t>2 Service Workers (Summer Wk)
Assist: Thalia/Bunche (cleaning, set up)
$75/day - 5 hours(9am - 2 pm)</t>
        </r>
      </text>
    </comment>
    <comment ref="F85" authorId="0">
      <text>
        <r>
          <rPr>
            <b/>
            <sz val="9"/>
            <color indexed="81"/>
            <rFont val="Tahoma"/>
            <family val="2"/>
          </rPr>
          <t>mboudreaux: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(Summer Wk)</t>
        </r>
        <r>
          <rPr>
            <sz val="9"/>
            <color indexed="81"/>
            <rFont val="Tahoma"/>
            <family val="2"/>
          </rPr>
          <t xml:space="preserve">
4 Service Workers
Set Up/Cleaning-2 wks
$75/day (5 hours/day</t>
        </r>
      </text>
    </comment>
    <comment ref="C11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Includes Admin. Asst. Professional Development 
(incl. $150 ServSafe training for Admin. Asst.; 300 PD; $25 LRA Expo)
</t>
        </r>
      </text>
    </comment>
    <comment ref="D11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Annual LRA Food Expo $25 (Staff-5); $200 PD Site Manager; $150 New Empl. ServSafe Training</t>
        </r>
      </text>
    </comment>
    <comment ref="E11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$25 LRA Expo (Staff-2); $200 PD Site Manager</t>
        </r>
      </text>
    </comment>
    <comment ref="F11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$25 LRA Expo (5-Staff); $200 Site Manager PD;
$150 New Empl.-ServSafe Training</t>
        </r>
      </text>
    </comment>
    <comment ref="D127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CINTAS - Towel Svc.
$2.60/week</t>
        </r>
      </text>
    </comment>
    <comment ref="E127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CINTAS Towel Svc.
$2.60/wk</t>
        </r>
      </text>
    </comment>
    <comment ref="F127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CINTAS Towel Svc.
$2.60/wk</t>
        </r>
      </text>
    </comment>
    <comment ref="C139" authorId="2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Vehicle
</t>
        </r>
      </text>
    </comment>
    <comment ref="C154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incl. Annual National/State Conferences; Site Visits</t>
        </r>
      </text>
    </comment>
    <comment ref="C159" authorId="3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$300/qtr software fees
additional costs? Or offsetting EB?
</t>
        </r>
        <r>
          <rPr>
            <b/>
            <sz val="8"/>
            <color indexed="81"/>
            <rFont val="Tahoma"/>
            <family val="2"/>
          </rPr>
          <t>M.boudreaux</t>
        </r>
        <r>
          <rPr>
            <sz val="8"/>
            <color indexed="81"/>
            <rFont val="Tahoma"/>
            <family val="2"/>
          </rPr>
          <t xml:space="preserve">
$600/qtr software fees</t>
        </r>
      </text>
    </comment>
    <comment ref="C16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File Cabinet(s)</t>
        </r>
      </text>
    </comment>
    <comment ref="D16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Food warming Cabinet; Staff Lockers: Remove personal items from school supplies</t>
        </r>
      </text>
    </comment>
    <comment ref="E16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Staff Lockers: Remove personal items from school supplies</t>
        </r>
      </text>
    </comment>
    <comment ref="F16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See detail list from MB</t>
        </r>
      </text>
    </comment>
    <comment ref="C163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Increased fuel cost</t>
        </r>
      </text>
    </comment>
    <comment ref="F17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See detail list from MB</t>
        </r>
      </text>
    </comment>
    <comment ref="C184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FS Dept. Retreat 
June 3rd - 5th </t>
        </r>
        <r>
          <rPr>
            <sz val="10"/>
            <color indexed="10"/>
            <rFont val="Tahoma"/>
            <family val="2"/>
          </rPr>
          <t>(Tentative)</t>
        </r>
        <r>
          <rPr>
            <sz val="10"/>
            <color indexed="81"/>
            <rFont val="Tahoma"/>
            <family val="2"/>
          </rPr>
          <t xml:space="preserve">                 (13 staff; incl. Director)  
</t>
        </r>
      </text>
    </comment>
    <comment ref="C185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 Staff Development Meetings/Working Lunch (2/School Yr)</t>
        </r>
      </text>
    </comment>
  </commentList>
</comments>
</file>

<file path=xl/comments13.xml><?xml version="1.0" encoding="utf-8"?>
<comments xmlns="http://schemas.openxmlformats.org/spreadsheetml/2006/main">
  <authors>
    <author>Sean Wilson</author>
    <author>jkurtz</author>
    <author>ethomas</author>
    <author>wtoujouse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110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$2K for PowerSchool Training</t>
        </r>
      </text>
    </comment>
    <comment ref="D112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 H1b visa for 5 FAT and Frederique Jouret's Permanent Resident
</t>
        </r>
      </text>
    </comment>
    <comment ref="D115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Paid with Title II funds for new/renewal LA certification</t>
        </r>
      </text>
    </comment>
    <comment ref="D116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Approx. 30 new hires at $65.00 pp</t>
        </r>
      </text>
    </comment>
    <comment ref="D118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Increased cost for newspaper advertising</t>
        </r>
      </text>
    </comment>
    <comment ref="D119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Binding cost of P&amp;P and Employee Handbook</t>
        </r>
      </text>
    </comment>
    <comment ref="D148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B/cards &amp; misc mailing</t>
        </r>
      </text>
    </comment>
    <comment ref="D149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Applitrack annual fee</t>
        </r>
      </text>
    </comment>
    <comment ref="D154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out-of-state travel, hotel and meals for 3 conf/ training</t>
        </r>
      </text>
    </comment>
    <comment ref="D158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Labor posters, emp folders, </t>
        </r>
      </text>
    </comment>
    <comment ref="C159" authorId="3">
      <text>
        <r>
          <rPr>
            <sz val="9"/>
            <color indexed="81"/>
            <rFont val="Tahoma"/>
            <family val="2"/>
          </rPr>
          <t xml:space="preserve">Powerschool upgrade
</t>
        </r>
      </text>
    </comment>
    <comment ref="D182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Job Fairs, Travel, meals, etc</t>
        </r>
      </text>
    </comment>
    <comment ref="D185" authorId="2">
      <text>
        <r>
          <rPr>
            <b/>
            <sz val="8"/>
            <color indexed="81"/>
            <rFont val="Tahoma"/>
            <family val="2"/>
          </rPr>
          <t xml:space="preserve">ethomas: </t>
        </r>
        <r>
          <rPr>
            <sz val="8"/>
            <color indexed="81"/>
            <rFont val="Tahoma"/>
            <family val="2"/>
          </rPr>
          <t>New hire orientation; PD lunch</t>
        </r>
      </text>
    </comment>
  </commentList>
</comments>
</file>

<file path=xl/comments14.xml><?xml version="1.0" encoding="utf-8"?>
<comments xmlns="http://schemas.openxmlformats.org/spreadsheetml/2006/main">
  <authors>
    <author>Sean Wilson</author>
    <author>Jennifer 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Website maintenance and updates $30/hr @ 15 hrs/month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Fiber for the Data Center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Echosign, Postini, Sonic Wall, Quest
</t>
        </r>
      </text>
    </comment>
    <comment ref="D14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Echo Sign, Sonicwall, Quest
</t>
        </r>
      </text>
    </comment>
    <comment ref="E14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Echo Sign, Sonicwall, Quest
</t>
        </r>
      </text>
    </comment>
    <comment ref="F14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Echo Sign, Sonicwall, Quest
</t>
        </r>
      </text>
    </comment>
  </commentList>
</comments>
</file>

<file path=xl/comments15.xml><?xml version="1.0" encoding="utf-8"?>
<comments xmlns="http://schemas.openxmlformats.org/spreadsheetml/2006/main">
  <authors>
    <author>Sean Wilson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B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</commentList>
</comments>
</file>

<file path=xl/comments16.xml><?xml version="1.0" encoding="utf-8"?>
<comments xmlns="http://schemas.openxmlformats.org/spreadsheetml/2006/main">
  <authors>
    <author>Sean Wilson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IDEA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IDEA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GCR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includes construction services.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E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M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</commentList>
</comments>
</file>

<file path=xl/comments2.xml><?xml version="1.0" encoding="utf-8"?>
<comments xmlns="http://schemas.openxmlformats.org/spreadsheetml/2006/main">
  <authors>
    <author>Sean Wilson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Special Appeal to furnish Modular Classrooms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FATs stipend
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Family Liaison
Administrative Assistant
MT Admin. Assistant</t>
        </r>
      </text>
    </comment>
    <comment ref="C130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Copier maintenance</t>
        </r>
      </text>
    </comment>
    <comment ref="C132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Oce, Xerox, Hasler</t>
        </r>
      </text>
    </comment>
    <comment ref="C158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Copy paper and laminating rolls</t>
        </r>
      </text>
    </comment>
    <comment ref="C159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A Net</t>
        </r>
      </text>
    </comment>
    <comment ref="C167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Specific needs to be planned and appropriately budgeted</t>
        </r>
      </text>
    </comment>
    <comment ref="C168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Specific needs to be planned and appropriately budgeted</t>
        </r>
      </text>
    </comment>
    <comment ref="BQ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15%</t>
        </r>
      </text>
    </comment>
  </commentList>
</comments>
</file>

<file path=xl/comments3.xml><?xml version="1.0" encoding="utf-8"?>
<comments xmlns="http://schemas.openxmlformats.org/spreadsheetml/2006/main">
  <authors>
    <author>Sean Wilson</author>
    <author>jkurtz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Spacial Appeal to outfit modular classrooms.</t>
        </r>
      </text>
    </comment>
    <comment ref="AO5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IDEA</t>
        </r>
      </text>
    </comment>
    <comment ref="AO6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GCR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CODOFIL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CODOFIL
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Stipend pay</t>
        </r>
      </text>
    </comment>
    <comment ref="U10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KidSmart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Copier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Paper and consumables
</t>
        </r>
      </text>
    </comment>
    <comment ref="C159" authorId="1">
      <text>
        <r>
          <rPr>
            <sz val="8"/>
            <color indexed="81"/>
            <rFont val="Tahoma"/>
            <family val="2"/>
          </rPr>
          <t>mtennyson: IXL and other subscription software</t>
        </r>
      </text>
    </comment>
    <comment ref="AM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15%</t>
        </r>
      </text>
    </comment>
    <comment ref="AO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AG19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Need to verify Funding and program Olivier St.</t>
        </r>
      </text>
    </comment>
  </commentList>
</comments>
</file>

<file path=xl/comments4.xml><?xml version="1.0" encoding="utf-8"?>
<comments xmlns="http://schemas.openxmlformats.org/spreadsheetml/2006/main">
  <authors>
    <author>jkurtz</author>
    <author>Sean Wilson</author>
    <author>Jennifer Kurtz</author>
    <author>Adierah Berger</author>
  </authors>
  <commentList>
    <comment ref="AH10" authorId="0">
      <text>
        <r>
          <rPr>
            <b/>
            <sz val="8"/>
            <color indexed="81"/>
            <rFont val="Tahoma"/>
            <family val="2"/>
          </rPr>
          <t>jkurtz:
Academic Readiness</t>
        </r>
      </text>
    </comment>
    <comment ref="C14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Special Appeal estimate</t>
        </r>
      </text>
    </comment>
    <comment ref="C33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School based fundraisers, coffee drive, cookies, fall activity, spring activity</t>
        </r>
      </text>
    </comment>
    <comment ref="C35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Charter School Start-up loan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FAT Stipends</t>
        </r>
      </text>
    </comment>
    <comment ref="G77" authorId="2">
      <text>
        <r>
          <rPr>
            <b/>
            <sz val="9"/>
            <color indexed="81"/>
            <rFont val="Tahoma"/>
            <family val="2"/>
          </rPr>
          <t>Sean W:</t>
        </r>
        <r>
          <rPr>
            <sz val="9"/>
            <color indexed="81"/>
            <rFont val="Tahoma"/>
            <family val="2"/>
          </rPr>
          <t xml:space="preserve">
Reception &amp; Family Liaison</t>
        </r>
      </text>
    </comment>
    <comment ref="C87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Lead Teacher stipends</t>
        </r>
      </text>
    </comment>
    <comment ref="C100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Tuition reimbursement: Want to incent Asst. Teachers to go back to school</t>
        </r>
      </text>
    </comment>
    <comment ref="C130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Copier maintenance
</t>
        </r>
      </text>
    </comment>
    <comment ref="C132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Oce, Hasler, Xerox</t>
        </r>
      </text>
    </comment>
    <comment ref="C149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Anet
</t>
        </r>
      </text>
    </comment>
    <comment ref="C158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Copier paper and laminating rolls</t>
        </r>
      </text>
    </comment>
    <comment ref="C170" authorId="3">
      <text>
        <r>
          <rPr>
            <b/>
            <sz val="9"/>
            <color indexed="81"/>
            <rFont val="MS Sans Serif"/>
            <family val="2"/>
          </rPr>
          <t>Adierah Berger: Start up</t>
        </r>
      </text>
    </comment>
    <comment ref="BB175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@15%</t>
        </r>
      </text>
    </comment>
    <comment ref="BD176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AL178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Start up of MS Science room</t>
        </r>
      </text>
    </comment>
    <comment ref="C183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Charter School Start up loan repayment</t>
        </r>
      </text>
    </comment>
  </commentList>
</comments>
</file>

<file path=xl/comments5.xml><?xml version="1.0" encoding="utf-8"?>
<comments xmlns="http://schemas.openxmlformats.org/spreadsheetml/2006/main">
  <authors>
    <author>Sean Wilson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Board Purchases $15,000
Admissions/Data/Finance Services $10,500
Org.Wide Celebrations $3,000
Council of Parent mtgs $2,000
Mtg meals: $1,500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$35K Charter Assoc, $5K LA Alliance, $1K Misc</t>
        </r>
      </text>
    </comment>
    <comment ref="V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Contingency 10%</t>
        </r>
      </text>
    </comment>
  </commentList>
</comments>
</file>

<file path=xl/comments6.xml><?xml version="1.0" encoding="utf-8"?>
<comments xmlns="http://schemas.openxmlformats.org/spreadsheetml/2006/main">
  <authors>
    <author>Sean Wilson</author>
    <author>Sony Customer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D75" authorId="1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$3000 stipend for testing administration and coordination</t>
        </r>
      </text>
    </comment>
    <comment ref="E75" authorId="1">
      <text>
        <r>
          <rPr>
            <b/>
            <sz val="8"/>
            <color indexed="81"/>
            <rFont val="Tahoma"/>
            <family val="2"/>
          </rPr>
          <t>Sony Customer:</t>
        </r>
        <r>
          <rPr>
            <sz val="8"/>
            <color indexed="81"/>
            <rFont val="Tahoma"/>
            <family val="2"/>
          </rPr>
          <t xml:space="preserve">
Was $75,000</t>
        </r>
      </text>
    </comment>
    <comment ref="F75" authorId="1">
      <text>
        <r>
          <rPr>
            <b/>
            <sz val="8"/>
            <color indexed="81"/>
            <rFont val="Tahoma"/>
            <family val="2"/>
          </rPr>
          <t>Sony Customer:</t>
        </r>
        <r>
          <rPr>
            <sz val="8"/>
            <color indexed="81"/>
            <rFont val="Tahoma"/>
            <family val="2"/>
          </rPr>
          <t xml:space="preserve">
Was $75,000</t>
        </r>
      </text>
    </comment>
    <comment ref="C86" authorId="2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Admissions screening for all grades</t>
        </r>
      </text>
    </comment>
    <comment ref="C158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$4000 Wilson Learning, $500 Gessel, $150 misc</t>
        </r>
      </text>
    </comment>
    <comment ref="M159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Book Systems License Fee</t>
        </r>
      </text>
    </comment>
    <comment ref="N159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Book Systems License Fee</t>
        </r>
      </text>
    </comment>
    <comment ref="O159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Book Systems License Fee</t>
        </r>
      </text>
    </comment>
    <comment ref="M169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$500 Magazines, $19/mo T.P.</t>
        </r>
      </text>
    </comment>
    <comment ref="N169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$500 Magazines, $19/mo T.P.</t>
        </r>
      </text>
    </comment>
    <comment ref="O169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$500 Magazines, $19/mo T.P.</t>
        </r>
      </text>
    </comment>
  </commentList>
</comments>
</file>

<file path=xl/comments7.xml><?xml version="1.0" encoding="utf-8"?>
<comments xmlns="http://schemas.openxmlformats.org/spreadsheetml/2006/main">
  <authors>
    <author>Sean Wilson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 19 hours per week @$13.50/hr for 36 weeks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 19 hours per week @$13.50/hr for 36 weeks</t>
        </r>
      </text>
    </comment>
    <comment ref="C121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Karate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Extra enrichment activity for students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Extra enrichment activity for students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$40/ per student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$40/ per student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$100/ student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$100/ student</t>
        </r>
      </text>
    </comment>
  </commentList>
</comments>
</file>

<file path=xl/comments8.xml><?xml version="1.0" encoding="utf-8"?>
<comments xmlns="http://schemas.openxmlformats.org/spreadsheetml/2006/main">
  <authors>
    <author>Sean Wilson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Modify to reflect change in Federal funding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Olivier assumed portion of CCLC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Grant Maximum total $221,750</t>
        </r>
      </text>
    </comment>
  </commentList>
</comments>
</file>

<file path=xl/comments9.xml><?xml version="1.0" encoding="utf-8"?>
<comments xmlns="http://schemas.openxmlformats.org/spreadsheetml/2006/main">
  <authors>
    <author>Sean Wilson</author>
    <author>Mark Huber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33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$10,000 Gala revenue
$10,000 Awards event revenue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Gala revenue</t>
        </r>
      </text>
    </comment>
    <comment ref="E35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ISL Store revenue</t>
        </r>
      </text>
    </comment>
    <comment ref="E160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$1,200 portable display
$400 Roll-up banner
$250 Tableclothes</t>
        </r>
      </text>
    </comment>
    <comment ref="C162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New printer</t>
        </r>
      </text>
    </comment>
    <comment ref="D184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$10,000 Gala
$7,000 Awards event
$2,800 Receptions</t>
        </r>
      </text>
    </comment>
    <comment ref="E184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$8,785 ISL Store COGS
$760 swag</t>
        </r>
      </text>
    </comment>
  </commentList>
</comments>
</file>

<file path=xl/sharedStrings.xml><?xml version="1.0" encoding="utf-8"?>
<sst xmlns="http://schemas.openxmlformats.org/spreadsheetml/2006/main" count="5855" uniqueCount="649">
  <si>
    <t xml:space="preserve">               01-44547</t>
  </si>
  <si>
    <t xml:space="preserve">               01-44549</t>
  </si>
  <si>
    <t>Federal Sources</t>
  </si>
  <si>
    <t xml:space="preserve">               01-44000</t>
  </si>
  <si>
    <t xml:space="preserve">               01-44100</t>
  </si>
  <si>
    <t>Unrestricted Grants in Aid Direct from the Federal Government</t>
  </si>
  <si>
    <t xml:space="preserve">               01-44190</t>
  </si>
  <si>
    <t>Other Restricted Grants</t>
  </si>
  <si>
    <t xml:space="preserve">               01-44500</t>
  </si>
  <si>
    <t>Restricted Grants in Aid from the Federal Government</t>
  </si>
  <si>
    <t xml:space="preserve">               01-44546</t>
  </si>
  <si>
    <t xml:space="preserve">               03-44540</t>
  </si>
  <si>
    <t xml:space="preserve">               01-50112</t>
  </si>
  <si>
    <t xml:space="preserve">               01-50115</t>
  </si>
  <si>
    <t xml:space="preserve">               01-50113</t>
  </si>
  <si>
    <t xml:space="preserve">               01-50118</t>
  </si>
  <si>
    <t xml:space="preserve">               01-50114</t>
  </si>
  <si>
    <t xml:space="preserve">               01-50116</t>
  </si>
  <si>
    <t xml:space="preserve">               01-50117</t>
  </si>
  <si>
    <t xml:space="preserve">               01-50111</t>
  </si>
  <si>
    <t xml:space="preserve">               01-50123</t>
  </si>
  <si>
    <t xml:space="preserve">               01-50119</t>
  </si>
  <si>
    <t xml:space="preserve">               01-50150</t>
  </si>
  <si>
    <t>Stipend Pay</t>
  </si>
  <si>
    <t xml:space="preserve">          Total Regular Salaries</t>
  </si>
  <si>
    <t xml:space="preserve">               01-50210</t>
  </si>
  <si>
    <t xml:space="preserve">               01-50211</t>
  </si>
  <si>
    <t>Social Security Contributions</t>
  </si>
  <si>
    <t xml:space="preserve">               01-50220</t>
  </si>
  <si>
    <t>Meidcare/Medicaid Contributions</t>
  </si>
  <si>
    <t xml:space="preserve">               01-50225</t>
  </si>
  <si>
    <t xml:space="preserve">               01-50230</t>
  </si>
  <si>
    <t>Retirement Contribution</t>
  </si>
  <si>
    <t>Health Insurance</t>
  </si>
  <si>
    <t>Dental Insurance</t>
  </si>
  <si>
    <t>Worker's Compensation Insurancce</t>
  </si>
  <si>
    <t xml:space="preserve">               01-50260</t>
  </si>
  <si>
    <t>Unemployment Compensation</t>
  </si>
  <si>
    <t xml:space="preserve">               01-50250</t>
  </si>
  <si>
    <t xml:space="preserve">               01-50290</t>
  </si>
  <si>
    <t>LTD/STD/Life</t>
  </si>
  <si>
    <t xml:space="preserve">               01-50320</t>
  </si>
  <si>
    <t>Purchased Educational Services</t>
  </si>
  <si>
    <t xml:space="preserve">               01-50321</t>
  </si>
  <si>
    <t xml:space="preserve">               01-52230</t>
  </si>
  <si>
    <t>Instructional Staff Training Services</t>
  </si>
  <si>
    <t xml:space="preserve">               01-50332</t>
  </si>
  <si>
    <t xml:space="preserve">               01-50333</t>
  </si>
  <si>
    <t xml:space="preserve">               01-50340</t>
  </si>
  <si>
    <t>Purchased Technical Services</t>
  </si>
  <si>
    <t>Purchased Official/Administrative Services</t>
  </si>
  <si>
    <t xml:space="preserve">               01-50310</t>
  </si>
  <si>
    <t xml:space="preserve">               01-50330</t>
  </si>
  <si>
    <t>Other Purchased Professional Services</t>
  </si>
  <si>
    <t xml:space="preserve">               01-50622</t>
  </si>
  <si>
    <t xml:space="preserve">               01-50621</t>
  </si>
  <si>
    <t xml:space="preserve">               01-50411</t>
  </si>
  <si>
    <t xml:space="preserve">               01-50421</t>
  </si>
  <si>
    <t xml:space="preserve">               01-50423</t>
  </si>
  <si>
    <t xml:space="preserve">               01-50401</t>
  </si>
  <si>
    <t xml:space="preserve">               01-50430</t>
  </si>
  <si>
    <t>Repairs and Maintenance Services</t>
  </si>
  <si>
    <t xml:space="preserve">               01-50442</t>
  </si>
  <si>
    <t xml:space="preserve">               01-50521</t>
  </si>
  <si>
    <t xml:space="preserve">               01-50522</t>
  </si>
  <si>
    <t xml:space="preserve">               01-50524</t>
  </si>
  <si>
    <t xml:space="preserve">               01-50531</t>
  </si>
  <si>
    <t xml:space="preserve">               01-50535</t>
  </si>
  <si>
    <t xml:space="preserve">               01-50532</t>
  </si>
  <si>
    <t xml:space="preserve">               01-50533</t>
  </si>
  <si>
    <t xml:space="preserve">               01-50534</t>
  </si>
  <si>
    <t xml:space="preserve">               01-50580</t>
  </si>
  <si>
    <t>Travel</t>
  </si>
  <si>
    <t xml:space="preserve">               01-50610</t>
  </si>
  <si>
    <t>Materials and Supplies</t>
  </si>
  <si>
    <t xml:space="preserve">               01-50611</t>
  </si>
  <si>
    <t xml:space="preserve">               01-50631</t>
  </si>
  <si>
    <t xml:space="preserve">               01-50642</t>
  </si>
  <si>
    <t xml:space="preserve">               03-50633</t>
  </si>
  <si>
    <t xml:space="preserve">               03-50632</t>
  </si>
  <si>
    <t xml:space="preserve">               01-50643</t>
  </si>
  <si>
    <t xml:space="preserve">               01-50644</t>
  </si>
  <si>
    <t xml:space="preserve">               01-50322</t>
  </si>
  <si>
    <t xml:space="preserve">               01-50560</t>
  </si>
  <si>
    <t>Tuition</t>
  </si>
  <si>
    <t>Dues &amp; Fees</t>
  </si>
  <si>
    <t xml:space="preserve">               01-50810</t>
  </si>
  <si>
    <t xml:space="preserve">               01-50540</t>
  </si>
  <si>
    <t>Advertising</t>
  </si>
  <si>
    <t xml:space="preserve">               01-50550</t>
  </si>
  <si>
    <t>Printing and Binding</t>
  </si>
  <si>
    <t xml:space="preserve">               01-50710</t>
  </si>
  <si>
    <t>Land and Improvements</t>
  </si>
  <si>
    <t xml:space="preserve">               01-50720</t>
  </si>
  <si>
    <t>Buildings</t>
  </si>
  <si>
    <t xml:space="preserve">               01-50730</t>
  </si>
  <si>
    <t xml:space="preserve">               01-50734</t>
  </si>
  <si>
    <t>Small Equipment (under $5K)</t>
  </si>
  <si>
    <t xml:space="preserve">               01-50740</t>
  </si>
  <si>
    <t>Depreciation</t>
  </si>
  <si>
    <t xml:space="preserve">               01-50891</t>
  </si>
  <si>
    <t xml:space="preserve">               01-50893</t>
  </si>
  <si>
    <t>Recruitment</t>
  </si>
  <si>
    <t>Fingerprinting and Background Checks</t>
  </si>
  <si>
    <t xml:space="preserve">               01-50894</t>
  </si>
  <si>
    <t xml:space="preserve">               01-50831</t>
  </si>
  <si>
    <t xml:space="preserve">               01-50890</t>
  </si>
  <si>
    <t>Miscellaneous Expenses</t>
  </si>
  <si>
    <t>CHIEF OPERATING OFFICER</t>
  </si>
  <si>
    <t>Education</t>
  </si>
  <si>
    <t>Level</t>
  </si>
  <si>
    <t>Cert/ Mast</t>
  </si>
  <si>
    <t>Master +30</t>
  </si>
  <si>
    <t>Ph.D</t>
  </si>
  <si>
    <t>ACCOUNTANT - Assistant CFO</t>
  </si>
  <si>
    <t>Bachelors</t>
  </si>
  <si>
    <t>Masters</t>
  </si>
  <si>
    <t>Accounting Specialist</t>
  </si>
  <si>
    <t>Experience</t>
  </si>
  <si>
    <t>TECHNOLOGY COORDINATOR</t>
  </si>
  <si>
    <t>DEVELOPMENT ADMINISTRATOR</t>
  </si>
  <si>
    <t>ADMINISTRATIVE ASSISTANT (Billing, HR Assoc., Tech. Assistant)</t>
  </si>
  <si>
    <t>Human Resources</t>
  </si>
  <si>
    <t>HEAD OF SCHOOL</t>
  </si>
  <si>
    <t>ADMINISTRATIVE ASSISTANT</t>
  </si>
  <si>
    <t>RECEPTIONIST</t>
  </si>
  <si>
    <t>FOOD SERVICE MANAGER</t>
  </si>
  <si>
    <t>FOOD STAFF</t>
  </si>
  <si>
    <t>Kitchen Help</t>
  </si>
  <si>
    <t>Asst Chef</t>
  </si>
  <si>
    <t>Head Chef</t>
  </si>
  <si>
    <t>BOILER ENGINEER</t>
  </si>
  <si>
    <t>Bachelor</t>
  </si>
  <si>
    <t>Master</t>
  </si>
  <si>
    <t>ACADEMIC HEAD</t>
  </si>
  <si>
    <t>ASST. ACADEMIC HEAD</t>
  </si>
  <si>
    <t>TEACHER CERTIFIED</t>
  </si>
  <si>
    <t>CODIFIL TEACHER</t>
  </si>
  <si>
    <t>Year</t>
  </si>
  <si>
    <t>TEACHING ASSISTANT</t>
  </si>
  <si>
    <t>LIBRARIAN</t>
  </si>
  <si>
    <t>NURSE</t>
  </si>
  <si>
    <t>LPN</t>
  </si>
  <si>
    <t>RN</t>
  </si>
  <si>
    <t>SCHOOL COUNSELOR</t>
  </si>
  <si>
    <t>LEARNING SERVICES COORDINATOR</t>
  </si>
  <si>
    <t>TEACHER NON-CERTIFIED</t>
  </si>
  <si>
    <t>W/Praxis +1</t>
  </si>
  <si>
    <t>W/Praxis +2</t>
  </si>
  <si>
    <t>FACILITIES MANAGER</t>
  </si>
  <si>
    <t>BUILDING MAINTENANCE</t>
  </si>
  <si>
    <t>JANITORIAL STAFF</t>
  </si>
  <si>
    <t>MAINTENANCE/SECURITY ADVISORS</t>
  </si>
  <si>
    <t>OLD EE</t>
  </si>
  <si>
    <t>Software Purchase</t>
  </si>
  <si>
    <t>Purchased Food</t>
  </si>
  <si>
    <t>Commodities</t>
  </si>
  <si>
    <t>Commodity Related Expenses</t>
  </si>
  <si>
    <t>Textbooks</t>
  </si>
  <si>
    <t>Workbooks</t>
  </si>
  <si>
    <t>Periodicals</t>
  </si>
  <si>
    <t xml:space="preserve">               01-50641-2252-000</t>
  </si>
  <si>
    <t>Library Books</t>
  </si>
  <si>
    <t xml:space="preserve">     Total Materials &amp; Supplies</t>
  </si>
  <si>
    <t xml:space="preserve">     Other Expenses</t>
  </si>
  <si>
    <t xml:space="preserve">          Certification Costs</t>
  </si>
  <si>
    <t>Certification Costs</t>
  </si>
  <si>
    <t>Finance Charges</t>
  </si>
  <si>
    <t xml:space="preserve">     Total Other Expenses</t>
  </si>
  <si>
    <t>Total Other Operating Expenses</t>
  </si>
  <si>
    <t>NET SURPLUS/(DEFICIT)</t>
  </si>
  <si>
    <t xml:space="preserve">               01-41920</t>
  </si>
  <si>
    <t xml:space="preserve">               01-41921</t>
  </si>
  <si>
    <t xml:space="preserve">               01-41922</t>
  </si>
  <si>
    <t>Department</t>
  </si>
  <si>
    <t>Gen. Acad.</t>
  </si>
  <si>
    <t>Kinder.</t>
  </si>
  <si>
    <t>Lower Sch.</t>
  </si>
  <si>
    <t>Middle Sch.</t>
  </si>
  <si>
    <t>Asst. Princ.</t>
  </si>
  <si>
    <t>Appraisal</t>
  </si>
  <si>
    <t>Counselor</t>
  </si>
  <si>
    <t>Nurse</t>
  </si>
  <si>
    <t>Library</t>
  </si>
  <si>
    <t>Data</t>
  </si>
  <si>
    <t>Finance</t>
  </si>
  <si>
    <t>Human Res.</t>
  </si>
  <si>
    <t>H.O.S.</t>
  </si>
  <si>
    <t>Facilities</t>
  </si>
  <si>
    <t>I.T.</t>
  </si>
  <si>
    <t>Food Serv.</t>
  </si>
  <si>
    <t>Prime Time</t>
  </si>
  <si>
    <t>21st Century</t>
  </si>
  <si>
    <t xml:space="preserve">               01-41610</t>
  </si>
  <si>
    <t xml:space="preserve">               01-41995</t>
  </si>
  <si>
    <t xml:space="preserve">               01-41993</t>
  </si>
  <si>
    <t xml:space="preserve">               01-41901</t>
  </si>
  <si>
    <t xml:space="preserve">               01-41944</t>
  </si>
  <si>
    <t xml:space="preserve">               01-41945</t>
  </si>
  <si>
    <t xml:space="preserve">               01-41940</t>
  </si>
  <si>
    <t xml:space="preserve">               01-41941</t>
  </si>
  <si>
    <t xml:space="preserve">               01-41942</t>
  </si>
  <si>
    <t xml:space="preserve">               01-41943</t>
  </si>
  <si>
    <t xml:space="preserve">               01-41994</t>
  </si>
  <si>
    <t xml:space="preserve">               01-41997</t>
  </si>
  <si>
    <t xml:space="preserve">               01-41996</t>
  </si>
  <si>
    <t xml:space="preserve">               01-41998</t>
  </si>
  <si>
    <t xml:space="preserve">               01-41510</t>
  </si>
  <si>
    <t xml:space="preserve">               01-41501</t>
  </si>
  <si>
    <t xml:space="preserve">               01-41900</t>
  </si>
  <si>
    <t>Other Revenues from Local Sources</t>
  </si>
  <si>
    <t xml:space="preserve">               01-41999</t>
  </si>
  <si>
    <t xml:space="preserve">               01-41992</t>
  </si>
  <si>
    <t xml:space="preserve">               01-41990</t>
  </si>
  <si>
    <t>Miscellaneous/Fund Raisers</t>
  </si>
  <si>
    <t xml:space="preserve">               01-41989</t>
  </si>
  <si>
    <t xml:space="preserve">               01-41910</t>
  </si>
  <si>
    <t xml:space="preserve">               01-43110</t>
  </si>
  <si>
    <t xml:space="preserve">               01-43115</t>
  </si>
  <si>
    <t>Other State Public School Fund</t>
  </si>
  <si>
    <t xml:space="preserve">               01-43100</t>
  </si>
  <si>
    <t>Unrestricted Grants in Aid</t>
  </si>
  <si>
    <t xml:space="preserve">               01-43190</t>
  </si>
  <si>
    <t xml:space="preserve">               01-43200</t>
  </si>
  <si>
    <t>Restricted Grants in Aid</t>
  </si>
  <si>
    <t xml:space="preserve">               01-43220</t>
  </si>
  <si>
    <t>Education Support Fund (8g)</t>
  </si>
  <si>
    <t xml:space="preserve">               01-43221</t>
  </si>
  <si>
    <t xml:space="preserve">               01-43290</t>
  </si>
  <si>
    <t xml:space="preserve">               01-44541</t>
  </si>
  <si>
    <t xml:space="preserve">               01-44544</t>
  </si>
  <si>
    <t xml:space="preserve">               01-44545</t>
  </si>
  <si>
    <t xml:space="preserve">               01-44548</t>
  </si>
  <si>
    <t xml:space="preserve">               03-44515</t>
  </si>
  <si>
    <t xml:space="preserve">     Total Benefits</t>
  </si>
  <si>
    <t>Total Employee Expenses</t>
  </si>
  <si>
    <t>Other Operating Expenses</t>
  </si>
  <si>
    <t xml:space="preserve">     Purchased Services</t>
  </si>
  <si>
    <t>Seminars/Training</t>
  </si>
  <si>
    <t>Legal Services</t>
  </si>
  <si>
    <t>Audit/Accounting Services</t>
  </si>
  <si>
    <t xml:space="preserve">     Total Purchased Services</t>
  </si>
  <si>
    <t xml:space="preserve">     Property Maintenance and Operating Expenses</t>
  </si>
  <si>
    <t>Electricity</t>
  </si>
  <si>
    <t>Heating Gas</t>
  </si>
  <si>
    <t>Water/Sewage</t>
  </si>
  <si>
    <t>Disposal Services</t>
  </si>
  <si>
    <t>Custodial Services</t>
  </si>
  <si>
    <t>Rental of Equipment and Vehicles</t>
  </si>
  <si>
    <t xml:space="preserve">     Total Property Maintenance and Operating Expenses</t>
  </si>
  <si>
    <t xml:space="preserve">     Insurance</t>
  </si>
  <si>
    <t xml:space="preserve">          Liability Insurance</t>
  </si>
  <si>
    <t>Liability Insurance</t>
  </si>
  <si>
    <t>Property Insurance</t>
  </si>
  <si>
    <t>Errors and Omissions Insurance</t>
  </si>
  <si>
    <t xml:space="preserve">     Total Insurance</t>
  </si>
  <si>
    <t xml:space="preserve">     Communication</t>
  </si>
  <si>
    <t>Telephone</t>
  </si>
  <si>
    <t>Long Distance Telephon</t>
  </si>
  <si>
    <t>Cell Phone</t>
  </si>
  <si>
    <t>Internet</t>
  </si>
  <si>
    <t>Postage</t>
  </si>
  <si>
    <t xml:space="preserve">     Total Communication</t>
  </si>
  <si>
    <t xml:space="preserve">     Travel</t>
  </si>
  <si>
    <t xml:space="preserve">          Travel Costs</t>
  </si>
  <si>
    <t xml:space="preserve">     Total Travel</t>
  </si>
  <si>
    <t xml:space="preserve">     Materials &amp; Supplies</t>
  </si>
  <si>
    <t>Page 1</t>
  </si>
  <si>
    <t>Revenue</t>
  </si>
  <si>
    <t xml:space="preserve">     Local Revenues</t>
  </si>
  <si>
    <t>Grants</t>
  </si>
  <si>
    <t>Donations</t>
  </si>
  <si>
    <t>Endowment Fund</t>
  </si>
  <si>
    <t>Income From Meals</t>
  </si>
  <si>
    <t>Primetime/Earlybird</t>
  </si>
  <si>
    <t>21st Century Revenue</t>
  </si>
  <si>
    <t>IT Support Services</t>
  </si>
  <si>
    <t>Enrichment Fee</t>
  </si>
  <si>
    <t>Supply Fee</t>
  </si>
  <si>
    <t>Books and Supplies Sold</t>
  </si>
  <si>
    <t>Library Book Replacement</t>
  </si>
  <si>
    <t>Textbook Replacement</t>
  </si>
  <si>
    <t>Uniform/ID Purchase</t>
  </si>
  <si>
    <t>Tardy Processing Fee</t>
  </si>
  <si>
    <t>Field Trips</t>
  </si>
  <si>
    <t>Child Not Picked Up Fee</t>
  </si>
  <si>
    <t>Library Fines</t>
  </si>
  <si>
    <t>Unrealized Gains/(Losses)</t>
  </si>
  <si>
    <t>Interest On Investments</t>
  </si>
  <si>
    <t>Karate</t>
  </si>
  <si>
    <t>0ther Miscellaneous Revenues</t>
  </si>
  <si>
    <t>Returned Check Fee</t>
  </si>
  <si>
    <t>Rentals</t>
  </si>
  <si>
    <t xml:space="preserve">     Total Revenue from Local Sources</t>
  </si>
  <si>
    <t xml:space="preserve">     State Revenues</t>
  </si>
  <si>
    <t>State Public School Fund</t>
  </si>
  <si>
    <t>Other Unrestricted Revenues</t>
  </si>
  <si>
    <t>K-3 Reading and Math</t>
  </si>
  <si>
    <t>Other Restricted Revenues</t>
  </si>
  <si>
    <t xml:space="preserve">     Total State Revenues</t>
  </si>
  <si>
    <t xml:space="preserve">     Federal Revenues</t>
  </si>
  <si>
    <t xml:space="preserve">          Title Revenues</t>
  </si>
  <si>
    <t>Title III</t>
  </si>
  <si>
    <t>School Food Service</t>
  </si>
  <si>
    <t>E-Rate Grant</t>
  </si>
  <si>
    <t>21st Century Learning</t>
  </si>
  <si>
    <t>Other IASA Programs</t>
  </si>
  <si>
    <t>Improving Americas Schools Act (IASA)</t>
  </si>
  <si>
    <t xml:space="preserve">     Total Federal Revenues</t>
  </si>
  <si>
    <t>Revenues</t>
  </si>
  <si>
    <t>Employee Expenses</t>
  </si>
  <si>
    <t xml:space="preserve">     Salaries</t>
  </si>
  <si>
    <t>Teachers</t>
  </si>
  <si>
    <t>Aides</t>
  </si>
  <si>
    <t>Therapists/Specialists/Counselors</t>
  </si>
  <si>
    <t>Degreed Professionals</t>
  </si>
  <si>
    <t>Clerical/Secretarial</t>
  </si>
  <si>
    <t>Service Workers</t>
  </si>
  <si>
    <t>Security Services</t>
  </si>
  <si>
    <t>Skilled Crafts</t>
  </si>
  <si>
    <t>Officials/Administrators/Managers</t>
  </si>
  <si>
    <t>Substitute Teacher</t>
  </si>
  <si>
    <t>Other Salaries</t>
  </si>
  <si>
    <t xml:space="preserve">          Total Other Salaries</t>
  </si>
  <si>
    <t xml:space="preserve">     Total Salaries</t>
  </si>
  <si>
    <t xml:space="preserve">     Benefits</t>
  </si>
  <si>
    <t>Kindergarten</t>
  </si>
  <si>
    <t>SKA</t>
  </si>
  <si>
    <t>SKB</t>
  </si>
  <si>
    <t>FKA</t>
  </si>
  <si>
    <t>FKB</t>
  </si>
  <si>
    <t>Lower School</t>
  </si>
  <si>
    <t>S1A</t>
  </si>
  <si>
    <t>S1B</t>
  </si>
  <si>
    <t>F1A</t>
  </si>
  <si>
    <t>F1B</t>
  </si>
  <si>
    <t>S2A</t>
  </si>
  <si>
    <t>S2B</t>
  </si>
  <si>
    <t>F2A</t>
  </si>
  <si>
    <t>F2B</t>
  </si>
  <si>
    <t>S3A</t>
  </si>
  <si>
    <t>E2N</t>
  </si>
  <si>
    <t>S3B</t>
  </si>
  <si>
    <t>F3A</t>
  </si>
  <si>
    <t>F3B</t>
  </si>
  <si>
    <t>E3N</t>
  </si>
  <si>
    <t>S4A</t>
  </si>
  <si>
    <t>S4B</t>
  </si>
  <si>
    <t>F4B</t>
  </si>
  <si>
    <t>F4A</t>
  </si>
  <si>
    <t>E4N</t>
  </si>
  <si>
    <t>S5A</t>
  </si>
  <si>
    <t>S5B</t>
  </si>
  <si>
    <t>F5A</t>
  </si>
  <si>
    <t>E5N</t>
  </si>
  <si>
    <t>MLA</t>
  </si>
  <si>
    <t>MSS</t>
  </si>
  <si>
    <t>MFM</t>
  </si>
  <si>
    <t>MSM</t>
  </si>
  <si>
    <t>MSC</t>
  </si>
  <si>
    <t>Enrichment</t>
  </si>
  <si>
    <t>ART</t>
  </si>
  <si>
    <t>PET</t>
  </si>
  <si>
    <t>MUS</t>
  </si>
  <si>
    <t>Notes:</t>
  </si>
  <si>
    <t># of employees</t>
  </si>
  <si>
    <t>CMP</t>
  </si>
  <si>
    <t>TOTAL</t>
  </si>
  <si>
    <t>M Ramirez</t>
  </si>
  <si>
    <t>G Camey</t>
  </si>
  <si>
    <t>CODOFIL</t>
  </si>
  <si>
    <t>L Deltort</t>
  </si>
  <si>
    <t>L Ducruet</t>
  </si>
  <si>
    <t>K Debarbieri</t>
  </si>
  <si>
    <t>E Countiss</t>
  </si>
  <si>
    <t>C Kuhlmann</t>
  </si>
  <si>
    <t>C Tebbe</t>
  </si>
  <si>
    <t>J Deltort</t>
  </si>
  <si>
    <t>L Hill</t>
  </si>
  <si>
    <t>J Maldonado</t>
  </si>
  <si>
    <t>J Ramonmuro</t>
  </si>
  <si>
    <t>J Huber</t>
  </si>
  <si>
    <t>J Palafox</t>
  </si>
  <si>
    <t>MSL</t>
  </si>
  <si>
    <t>K Herndon</t>
  </si>
  <si>
    <t>MFL</t>
  </si>
  <si>
    <t>F Jouret</t>
  </si>
  <si>
    <t>M Macera</t>
  </si>
  <si>
    <t>H Mao</t>
  </si>
  <si>
    <t>Title I</t>
  </si>
  <si>
    <t>Title IV</t>
  </si>
  <si>
    <t>Title II</t>
  </si>
  <si>
    <t>2123</t>
  </si>
  <si>
    <t>CIR</t>
  </si>
  <si>
    <t>ACL</t>
  </si>
  <si>
    <t>Principal</t>
  </si>
  <si>
    <t>2410</t>
  </si>
  <si>
    <t>EXECUTIVE</t>
  </si>
  <si>
    <t>DATA ADMINISTRATOR</t>
  </si>
  <si>
    <t>Head Custodian</t>
  </si>
  <si>
    <t>F5B</t>
  </si>
  <si>
    <t>Lower</t>
  </si>
  <si>
    <t>1110</t>
  </si>
  <si>
    <t>S1C</t>
  </si>
  <si>
    <t>Technology Equipment (over $5,000)</t>
  </si>
  <si>
    <t>Equipment (over $5,000)</t>
  </si>
  <si>
    <t>01-50130</t>
  </si>
  <si>
    <t>Extra Work Performed</t>
  </si>
  <si>
    <t>Speech</t>
  </si>
  <si>
    <t>2152</t>
  </si>
  <si>
    <t>Add family liaison?  Watch GCR</t>
  </si>
  <si>
    <t>01-50441</t>
  </si>
  <si>
    <t>Rental of Land and Buildings</t>
  </si>
  <si>
    <t>01-50519</t>
  </si>
  <si>
    <t>Student Transportation</t>
  </si>
  <si>
    <t>01-50626</t>
  </si>
  <si>
    <t>Fuel</t>
  </si>
  <si>
    <t>01-50523</t>
  </si>
  <si>
    <t>Fleet Insurance</t>
  </si>
  <si>
    <t>01-50612</t>
  </si>
  <si>
    <t>01-50615</t>
  </si>
  <si>
    <t>Technology Supplies</t>
  </si>
  <si>
    <t>01-50616</t>
  </si>
  <si>
    <t>Technology Small Equipment (under $5K)</t>
  </si>
  <si>
    <t>Donor Perfect</t>
  </si>
  <si>
    <t>01-50536</t>
  </si>
  <si>
    <t>Toner, mice</t>
  </si>
  <si>
    <t>Subscription Based Software</t>
  </si>
  <si>
    <t>01-50895</t>
  </si>
  <si>
    <t>Meals &amp; Entertainment (non travel related)</t>
  </si>
  <si>
    <t>IT</t>
  </si>
  <si>
    <t>2490</t>
  </si>
  <si>
    <t>Accountant</t>
  </si>
  <si>
    <t># of CAMP students</t>
  </si>
  <si>
    <t># of OLIVIER Studetns</t>
  </si>
  <si>
    <t>TOTAL OPERATING EXPENSES</t>
  </si>
  <si>
    <t>Olivier</t>
  </si>
  <si>
    <t>MS LA</t>
  </si>
  <si>
    <t>MS Math</t>
  </si>
  <si>
    <t>MS Science</t>
  </si>
  <si>
    <t>MS Soc St</t>
  </si>
  <si>
    <t>SUBTOTAL</t>
  </si>
  <si>
    <t xml:space="preserve">              01-50612</t>
  </si>
  <si>
    <t xml:space="preserve">              01-50615</t>
  </si>
  <si>
    <t xml:space="preserve">               01-50616</t>
  </si>
  <si>
    <t xml:space="preserve">               01-50626</t>
  </si>
  <si>
    <t>Curriculum</t>
  </si>
  <si>
    <t>PET/MA</t>
  </si>
  <si>
    <t>Degreed</t>
  </si>
  <si>
    <t>SKC</t>
  </si>
  <si>
    <t>0</t>
  </si>
  <si>
    <t>REMEDIATION SPECIALIST</t>
  </si>
  <si>
    <t>MS TLA</t>
  </si>
  <si>
    <t>12-2013</t>
  </si>
  <si>
    <t>BUDGET</t>
  </si>
  <si>
    <t>Admin</t>
  </si>
  <si>
    <t>IT JP</t>
  </si>
  <si>
    <t>INTERNATIONAL SCHOOL OF LOUISIANA</t>
  </si>
  <si>
    <t>Function Code</t>
  </si>
  <si>
    <t>Last Name</t>
  </si>
  <si>
    <t>First Name</t>
  </si>
  <si>
    <t>Job Title</t>
  </si>
  <si>
    <t>% Increase</t>
  </si>
  <si>
    <t>Location</t>
  </si>
  <si>
    <t>Comments</t>
  </si>
  <si>
    <t xml:space="preserve"> School Counselor</t>
  </si>
  <si>
    <t>School Counselor</t>
  </si>
  <si>
    <t>Camp</t>
  </si>
  <si>
    <t>1105 Kindergarten</t>
  </si>
  <si>
    <t>Assistant Teacher</t>
  </si>
  <si>
    <t>Spanish K</t>
  </si>
  <si>
    <t>Teacher</t>
  </si>
  <si>
    <t>1110 Lower School</t>
  </si>
  <si>
    <t>DOH: 8/2/12</t>
  </si>
  <si>
    <t>Librarian</t>
  </si>
  <si>
    <t>Remediation</t>
  </si>
  <si>
    <t>Schumacher</t>
  </si>
  <si>
    <t>Art</t>
  </si>
  <si>
    <t>Cochran</t>
  </si>
  <si>
    <t>Circus Art</t>
  </si>
  <si>
    <t>Music</t>
  </si>
  <si>
    <t>Logigian</t>
  </si>
  <si>
    <t>Physical Ed.</t>
  </si>
  <si>
    <t>1110 Middle School</t>
  </si>
  <si>
    <t>1111 Middle School</t>
  </si>
  <si>
    <t>1200 Special Education Services</t>
  </si>
  <si>
    <t>Speech Language Therapist</t>
  </si>
  <si>
    <t>2134 School Nurse</t>
  </si>
  <si>
    <t>School Nurse</t>
  </si>
  <si>
    <t>2322 School Development</t>
  </si>
  <si>
    <t>Family Liaison</t>
  </si>
  <si>
    <t>2410 Principal</t>
  </si>
  <si>
    <t>Office Assistant</t>
  </si>
  <si>
    <t>2420 Assistant Principal</t>
  </si>
  <si>
    <t>Assistant Principal</t>
  </si>
  <si>
    <t>2620 Operating Building Services</t>
  </si>
  <si>
    <t>Custodian</t>
  </si>
  <si>
    <t>Facilities Maintenance</t>
  </si>
  <si>
    <t>2114 Student Accounting Services</t>
  </si>
  <si>
    <t>Manager - Data</t>
  </si>
  <si>
    <t>CMO</t>
  </si>
  <si>
    <t>2190 Other Pupil Support Services</t>
  </si>
  <si>
    <t>Director of Education Services</t>
  </si>
  <si>
    <t>2255 Computer-Assisted Instruction Services</t>
  </si>
  <si>
    <t>Coordinator - IT</t>
  </si>
  <si>
    <t>2321 Head of School/Executive Director</t>
  </si>
  <si>
    <t>Head of School/CEO</t>
  </si>
  <si>
    <t>Manager - Fundraising</t>
  </si>
  <si>
    <t>2500 Business Office</t>
  </si>
  <si>
    <t>Coordinator - Marketing</t>
  </si>
  <si>
    <t>2510 Fiscal Services</t>
  </si>
  <si>
    <t>Director of Finance</t>
  </si>
  <si>
    <t>Director of Facilities</t>
  </si>
  <si>
    <t>2830 Human Resources</t>
  </si>
  <si>
    <t>Director of Human Resource</t>
  </si>
  <si>
    <t>Office Assistant - HR</t>
  </si>
  <si>
    <t>ISLJP</t>
  </si>
  <si>
    <t>Spanish k</t>
  </si>
  <si>
    <t>2300 General Administration</t>
  </si>
  <si>
    <t>Administrative Assistant</t>
  </si>
  <si>
    <t>Associate Principal</t>
  </si>
  <si>
    <t>Accounting Technician</t>
  </si>
  <si>
    <t>Food Service Assistant/Custodian</t>
  </si>
  <si>
    <t>Food Service</t>
  </si>
  <si>
    <t>Director of Food Service</t>
  </si>
  <si>
    <t>Chef</t>
  </si>
  <si>
    <t>Assistant Chef</t>
  </si>
  <si>
    <t>Food Service Assistant I</t>
  </si>
  <si>
    <t>Food Service Assistant II</t>
  </si>
  <si>
    <t>* ISL Salary Schedule</t>
  </si>
  <si>
    <t>FC</t>
  </si>
  <si>
    <t>FS</t>
  </si>
  <si>
    <t>Grade/Dept</t>
  </si>
  <si>
    <t>Area</t>
  </si>
  <si>
    <t>Counseling</t>
  </si>
  <si>
    <t>French</t>
  </si>
  <si>
    <t>Kinder</t>
  </si>
  <si>
    <t>Spanish</t>
  </si>
  <si>
    <t>1st</t>
  </si>
  <si>
    <t>2nd</t>
  </si>
  <si>
    <t>3rd</t>
  </si>
  <si>
    <t>4th</t>
  </si>
  <si>
    <t>5th</t>
  </si>
  <si>
    <t>English</t>
  </si>
  <si>
    <t>2rd</t>
  </si>
  <si>
    <t>Science</t>
  </si>
  <si>
    <t>MS</t>
  </si>
  <si>
    <t>ELA</t>
  </si>
  <si>
    <t>ELA/AA</t>
  </si>
  <si>
    <t>FLA</t>
  </si>
  <si>
    <t>CLA</t>
  </si>
  <si>
    <t>SPM</t>
  </si>
  <si>
    <t>Therapy</t>
  </si>
  <si>
    <t>Acad Admin</t>
  </si>
  <si>
    <t>Fly Liaison</t>
  </si>
  <si>
    <t>Offc Asst</t>
  </si>
  <si>
    <t>Asst. Princ</t>
  </si>
  <si>
    <t>Maintenance</t>
  </si>
  <si>
    <t>Educ. Serv.</t>
  </si>
  <si>
    <t>Assc. Princ</t>
  </si>
  <si>
    <t>Y Vargas</t>
  </si>
  <si>
    <t>G Rendon</t>
  </si>
  <si>
    <t>M Horvitz</t>
  </si>
  <si>
    <t>B Guzman</t>
  </si>
  <si>
    <t>S Sabillon</t>
  </si>
  <si>
    <t>S Moulingneau</t>
  </si>
  <si>
    <t>S Geisler</t>
  </si>
  <si>
    <t>W Clancy</t>
  </si>
  <si>
    <t>F LeChevre</t>
  </si>
  <si>
    <t>A Braconnier</t>
  </si>
  <si>
    <t>V Valdes</t>
  </si>
  <si>
    <t>MCL</t>
  </si>
  <si>
    <t>W Vargas</t>
  </si>
  <si>
    <t>M DiPasquale</t>
  </si>
  <si>
    <t>Bookkepper</t>
  </si>
  <si>
    <t>KidSmart</t>
  </si>
  <si>
    <t>CAMP ST</t>
  </si>
  <si>
    <t>OLIVIER ST</t>
  </si>
  <si>
    <t xml:space="preserve">               01-50519</t>
  </si>
  <si>
    <t xml:space="preserve">         01-50441</t>
  </si>
  <si>
    <t xml:space="preserve">               01-50895</t>
  </si>
  <si>
    <t>Recruit &amp; Mktg</t>
  </si>
  <si>
    <t>Dir of FN</t>
  </si>
  <si>
    <t>FN TOTAL</t>
  </si>
  <si>
    <t>2013-'14</t>
  </si>
  <si>
    <t>2012-'13</t>
  </si>
  <si>
    <t># of THALIA students</t>
  </si>
  <si>
    <t># of BUNCHE Students</t>
  </si>
  <si>
    <t>13-2014</t>
  </si>
  <si>
    <t>4EN</t>
  </si>
  <si>
    <t>21CCLC CAMP</t>
  </si>
  <si>
    <t>21CCLC OLIVIER</t>
  </si>
  <si>
    <t>Camp PT</t>
  </si>
  <si>
    <t>Olivier PT</t>
  </si>
  <si>
    <t>Bunche PT</t>
  </si>
  <si>
    <t>2013 - 2014 SALARY INFORMATION</t>
  </si>
  <si>
    <t>Grant Writer</t>
  </si>
  <si>
    <t>Dev Co-ord</t>
  </si>
  <si>
    <t>Director</t>
  </si>
  <si>
    <t>Sr. Acct</t>
  </si>
  <si>
    <t>FS Camp</t>
  </si>
  <si>
    <t>FS Olivier</t>
  </si>
  <si>
    <t>FS Bunche</t>
  </si>
  <si>
    <t>Bunche</t>
  </si>
  <si>
    <t>BUNCHE</t>
  </si>
  <si>
    <t>CAMP</t>
  </si>
  <si>
    <t>OLIVIER</t>
  </si>
  <si>
    <t>S2C</t>
  </si>
  <si>
    <t>S2D</t>
  </si>
  <si>
    <t>ARC</t>
  </si>
  <si>
    <t>FC Mgmt</t>
  </si>
  <si>
    <t>Camp FC</t>
  </si>
  <si>
    <t>Olivier FC</t>
  </si>
  <si>
    <t>Bunche FC</t>
  </si>
  <si>
    <t>MFP</t>
  </si>
  <si>
    <t>2012-13 Salary</t>
  </si>
  <si>
    <t>2013-14 Salary *</t>
  </si>
  <si>
    <t>Resource room</t>
  </si>
  <si>
    <t>FAT</t>
  </si>
  <si>
    <t>Codofil</t>
  </si>
  <si>
    <t>Yuliana</t>
  </si>
  <si>
    <t>Viviene</t>
  </si>
  <si>
    <t>Delila B</t>
  </si>
  <si>
    <t xml:space="preserve">CODOFIL </t>
  </si>
  <si>
    <t>Anne M</t>
  </si>
  <si>
    <t>Isabel Coll</t>
  </si>
  <si>
    <t>Claudia Lopez</t>
  </si>
  <si>
    <t>Jevani A</t>
  </si>
  <si>
    <t>Olga Vaz</t>
  </si>
  <si>
    <t>Elisabeth M</t>
  </si>
  <si>
    <t>Asst</t>
  </si>
  <si>
    <t>Holder</t>
  </si>
  <si>
    <t>Mateen</t>
  </si>
  <si>
    <t>Kittle</t>
  </si>
  <si>
    <t>noncert</t>
  </si>
  <si>
    <t>Rhimer</t>
  </si>
  <si>
    <t>Halley</t>
  </si>
  <si>
    <t>DV</t>
  </si>
  <si>
    <t>2321</t>
  </si>
  <si>
    <t>CAMP STREET</t>
  </si>
  <si>
    <t xml:space="preserve">BUNCHE </t>
  </si>
  <si>
    <t>THALIA ST</t>
  </si>
  <si>
    <t>PROJECTED</t>
  </si>
  <si>
    <t>Ph.D.</t>
  </si>
  <si>
    <t>Mast +30</t>
  </si>
  <si>
    <t>cst/std</t>
  </si>
  <si>
    <t>S Sabillion</t>
  </si>
  <si>
    <t>324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</si>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</sst>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0.0%"/>
    <numFmt numFmtId="167" formatCode="0_);\(0\)"/>
  </numFmts>
  <fonts count="4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8.0500000000000007"/>
      <color indexed="8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.0500000000000007"/>
      <color indexed="8"/>
      <name val="Times New Roman"/>
      <family val="1"/>
    </font>
    <font>
      <b/>
      <sz val="10"/>
      <color indexed="8"/>
      <name val="MS Sans Serif"/>
      <family val="2"/>
    </font>
    <font>
      <sz val="8.0500000000000007"/>
      <color indexed="8"/>
      <name val="Times New Roman"/>
      <family val="1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0500000000000007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sz val="8"/>
      <color indexed="8"/>
      <name val="Times New Roman"/>
      <family val="1"/>
    </font>
    <font>
      <b/>
      <sz val="9"/>
      <color indexed="81"/>
      <name val="MS Sans Serif"/>
      <family val="2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/>
    <xf numFmtId="0" fontId="29" fillId="0" borderId="0"/>
    <xf numFmtId="0" fontId="1" fillId="0" borderId="0"/>
    <xf numFmtId="43" fontId="1" fillId="0" borderId="0" applyFont="0" applyFill="0" applyBorder="0" applyAlignment="0" applyProtection="0"/>
  </cellStyleXfs>
  <cellXfs count="304">
    <xf numFmtId="0" fontId="0" fillId="0" borderId="0" xfId="0" applyNumberFormat="1" applyFill="1" applyBorder="1" applyAlignment="1" applyProtection="1"/>
    <xf numFmtId="7" fontId="4" fillId="0" borderId="0" xfId="0" applyNumberFormat="1" applyFont="1" applyAlignment="1">
      <alignment horizontal="right" vertical="center"/>
    </xf>
    <xf numFmtId="0" fontId="25" fillId="0" borderId="0" xfId="38" applyFont="1"/>
    <xf numFmtId="0" fontId="11" fillId="0" borderId="0" xfId="38"/>
    <xf numFmtId="7" fontId="26" fillId="0" borderId="0" xfId="0" applyNumberFormat="1" applyFont="1" applyAlignment="1">
      <alignment horizontal="right" vertical="center"/>
    </xf>
    <xf numFmtId="0" fontId="27" fillId="0" borderId="0" xfId="0" applyNumberFormat="1" applyFont="1" applyFill="1" applyBorder="1" applyAlignment="1" applyProtection="1"/>
    <xf numFmtId="7" fontId="4" fillId="0" borderId="10" xfId="0" applyNumberFormat="1" applyFont="1" applyBorder="1" applyAlignment="1">
      <alignment horizontal="right" vertical="center"/>
    </xf>
    <xf numFmtId="49" fontId="4" fillId="0" borderId="0" xfId="28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7" fontId="28" fillId="0" borderId="0" xfId="0" applyNumberFormat="1" applyFont="1" applyAlignment="1">
      <alignment horizontal="right" vertical="center"/>
    </xf>
    <xf numFmtId="7" fontId="4" fillId="0" borderId="0" xfId="0" applyNumberFormat="1" applyFont="1" applyAlignment="1">
      <alignment horizontal="left" vertical="center"/>
    </xf>
    <xf numFmtId="164" fontId="4" fillId="0" borderId="0" xfId="28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28" applyNumberFormat="1" applyFont="1" applyAlignment="1">
      <alignment horizontal="left" vertical="center"/>
    </xf>
    <xf numFmtId="7" fontId="26" fillId="0" borderId="0" xfId="0" applyNumberFormat="1" applyFont="1" applyAlignment="1">
      <alignment horizontal="left" vertical="center"/>
    </xf>
    <xf numFmtId="0" fontId="29" fillId="0" borderId="0" xfId="0" applyNumberFormat="1" applyFont="1" applyFill="1" applyBorder="1" applyAlignment="1" applyProtection="1"/>
    <xf numFmtId="7" fontId="28" fillId="0" borderId="0" xfId="0" applyNumberFormat="1" applyFont="1" applyAlignment="1">
      <alignment horizontal="left" vertical="center"/>
    </xf>
    <xf numFmtId="41" fontId="11" fillId="0" borderId="0" xfId="38" applyNumberFormat="1"/>
    <xf numFmtId="41" fontId="25" fillId="0" borderId="0" xfId="38" applyNumberFormat="1" applyFont="1"/>
    <xf numFmtId="41" fontId="32" fillId="0" borderId="0" xfId="38" applyNumberFormat="1" applyFont="1"/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32" fillId="0" borderId="0" xfId="38" applyFont="1"/>
    <xf numFmtId="41" fontId="4" fillId="0" borderId="0" xfId="0" applyNumberFormat="1" applyFont="1" applyFill="1" applyAlignment="1">
      <alignment horizontal="right" vertical="center"/>
    </xf>
    <xf numFmtId="7" fontId="4" fillId="0" borderId="0" xfId="0" applyNumberFormat="1" applyFont="1" applyFill="1" applyBorder="1" applyAlignment="1">
      <alignment horizontal="right" vertical="center"/>
    </xf>
    <xf numFmtId="7" fontId="28" fillId="0" borderId="0" xfId="0" applyNumberFormat="1" applyFont="1" applyFill="1" applyBorder="1" applyAlignment="1">
      <alignment horizontal="right" vertical="center"/>
    </xf>
    <xf numFmtId="7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7" fontId="4" fillId="0" borderId="0" xfId="0" applyNumberFormat="1" applyFont="1" applyFill="1" applyAlignment="1">
      <alignment horizontal="center" vertical="center"/>
    </xf>
    <xf numFmtId="7" fontId="26" fillId="0" borderId="0" xfId="0" applyNumberFormat="1" applyFont="1" applyFill="1" applyAlignment="1">
      <alignment horizontal="right" vertical="center"/>
    </xf>
    <xf numFmtId="7" fontId="4" fillId="0" borderId="0" xfId="0" applyNumberFormat="1" applyFont="1" applyFill="1" applyAlignment="1">
      <alignment horizontal="left" vertical="center"/>
    </xf>
    <xf numFmtId="164" fontId="4" fillId="0" borderId="0" xfId="28" applyNumberFormat="1" applyFont="1" applyFill="1" applyAlignment="1">
      <alignment horizontal="left" vertical="center"/>
    </xf>
    <xf numFmtId="49" fontId="4" fillId="0" borderId="11" xfId="28" applyNumberFormat="1" applyFont="1" applyFill="1" applyBorder="1" applyAlignment="1">
      <alignment horizontal="left" vertical="center"/>
    </xf>
    <xf numFmtId="49" fontId="4" fillId="0" borderId="0" xfId="28" applyNumberFormat="1" applyFont="1" applyFill="1" applyAlignment="1">
      <alignment horizontal="center" vertical="center"/>
    </xf>
    <xf numFmtId="7" fontId="26" fillId="0" borderId="0" xfId="0" applyNumberFormat="1" applyFont="1" applyFill="1" applyAlignment="1">
      <alignment horizontal="left" vertical="center"/>
    </xf>
    <xf numFmtId="7" fontId="28" fillId="0" borderId="0" xfId="0" applyNumberFormat="1" applyFont="1" applyFill="1" applyAlignment="1">
      <alignment horizontal="left" vertical="center"/>
    </xf>
    <xf numFmtId="7" fontId="26" fillId="0" borderId="0" xfId="0" applyNumberFormat="1" applyFont="1" applyAlignment="1">
      <alignment horizontal="right" vertical="center"/>
    </xf>
    <xf numFmtId="42" fontId="4" fillId="0" borderId="0" xfId="0" applyNumberFormat="1" applyFont="1" applyAlignment="1">
      <alignment horizontal="right" vertical="center"/>
    </xf>
    <xf numFmtId="42" fontId="4" fillId="0" borderId="10" xfId="0" applyNumberFormat="1" applyFont="1" applyBorder="1" applyAlignment="1">
      <alignment horizontal="right" vertical="center"/>
    </xf>
    <xf numFmtId="42" fontId="26" fillId="0" borderId="0" xfId="0" applyNumberFormat="1" applyFont="1" applyAlignment="1">
      <alignment horizontal="right" vertical="center"/>
    </xf>
    <xf numFmtId="41" fontId="26" fillId="0" borderId="0" xfId="0" applyNumberFormat="1" applyFont="1" applyAlignment="1">
      <alignment horizontal="right" vertical="center"/>
    </xf>
    <xf numFmtId="6" fontId="4" fillId="0" borderId="0" xfId="0" applyNumberFormat="1" applyFont="1" applyFill="1" applyAlignment="1">
      <alignment horizontal="right" vertical="center"/>
    </xf>
    <xf numFmtId="49" fontId="4" fillId="0" borderId="0" xfId="28" applyNumberFormat="1" applyFont="1" applyFill="1" applyAlignment="1">
      <alignment horizontal="right" vertical="center"/>
    </xf>
    <xf numFmtId="6" fontId="26" fillId="0" borderId="0" xfId="0" applyNumberFormat="1" applyFont="1" applyFill="1" applyAlignment="1">
      <alignment horizontal="right" vertical="center"/>
    </xf>
    <xf numFmtId="6" fontId="4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42" fontId="4" fillId="0" borderId="0" xfId="0" applyNumberFormat="1" applyFont="1" applyFill="1" applyAlignment="1">
      <alignment horizontal="right" vertical="center"/>
    </xf>
    <xf numFmtId="42" fontId="4" fillId="0" borderId="1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42" fontId="26" fillId="0" borderId="0" xfId="0" applyNumberFormat="1" applyFont="1" applyFill="1" applyAlignment="1">
      <alignment horizontal="right" vertical="center"/>
    </xf>
    <xf numFmtId="41" fontId="26" fillId="0" borderId="0" xfId="28" applyNumberFormat="1" applyFont="1" applyFill="1" applyAlignment="1">
      <alignment horizontal="right" vertical="center"/>
    </xf>
    <xf numFmtId="44" fontId="4" fillId="0" borderId="0" xfId="0" applyNumberFormat="1" applyFont="1" applyAlignment="1">
      <alignment horizontal="right" vertical="center"/>
    </xf>
    <xf numFmtId="44" fontId="4" fillId="0" borderId="0" xfId="0" applyNumberFormat="1" applyFont="1" applyFill="1" applyAlignment="1">
      <alignment horizontal="right" vertical="center"/>
    </xf>
    <xf numFmtId="42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7" fontId="4" fillId="0" borderId="0" xfId="0" applyNumberFormat="1" applyFont="1" applyAlignment="1">
      <alignment horizontal="center" vertical="center"/>
    </xf>
    <xf numFmtId="165" fontId="26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42" fontId="26" fillId="0" borderId="10" xfId="0" applyNumberFormat="1" applyFont="1" applyFill="1" applyBorder="1" applyAlignment="1">
      <alignment horizontal="right" vertical="center"/>
    </xf>
    <xf numFmtId="42" fontId="26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0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28" fillId="0" borderId="0" xfId="0" applyNumberFormat="1" applyFont="1" applyAlignment="1">
      <alignment horizontal="right" vertical="center"/>
    </xf>
    <xf numFmtId="42" fontId="28" fillId="0" borderId="0" xfId="0" applyNumberFormat="1" applyFont="1" applyFill="1" applyAlignment="1">
      <alignment horizontal="right" vertical="center"/>
    </xf>
    <xf numFmtId="7" fontId="4" fillId="24" borderId="0" xfId="0" applyNumberFormat="1" applyFont="1" applyFill="1" applyAlignment="1">
      <alignment horizontal="right" vertical="center"/>
    </xf>
    <xf numFmtId="49" fontId="4" fillId="24" borderId="0" xfId="0" applyNumberFormat="1" applyFont="1" applyFill="1" applyAlignment="1">
      <alignment horizontal="right" vertical="center"/>
    </xf>
    <xf numFmtId="49" fontId="4" fillId="24" borderId="0" xfId="28" applyNumberFormat="1" applyFont="1" applyFill="1" applyAlignment="1">
      <alignment horizontal="right" vertical="center"/>
    </xf>
    <xf numFmtId="7" fontId="26" fillId="24" borderId="0" xfId="0" applyNumberFormat="1" applyFont="1" applyFill="1" applyAlignment="1">
      <alignment horizontal="right" vertical="center"/>
    </xf>
    <xf numFmtId="42" fontId="4" fillId="24" borderId="0" xfId="0" applyNumberFormat="1" applyFont="1" applyFill="1" applyAlignment="1">
      <alignment horizontal="right" vertical="center"/>
    </xf>
    <xf numFmtId="0" fontId="4" fillId="24" borderId="0" xfId="0" applyNumberFormat="1" applyFont="1" applyFill="1" applyAlignment="1">
      <alignment horizontal="right" vertical="center"/>
    </xf>
    <xf numFmtId="42" fontId="4" fillId="24" borderId="10" xfId="0" applyNumberFormat="1" applyFont="1" applyFill="1" applyBorder="1" applyAlignment="1">
      <alignment horizontal="right" vertical="center"/>
    </xf>
    <xf numFmtId="42" fontId="26" fillId="24" borderId="0" xfId="0" applyNumberFormat="1" applyFont="1" applyFill="1" applyAlignment="1">
      <alignment horizontal="right" vertical="center"/>
    </xf>
    <xf numFmtId="6" fontId="4" fillId="24" borderId="0" xfId="0" applyNumberFormat="1" applyFont="1" applyFill="1" applyAlignment="1">
      <alignment horizontal="right" vertical="center"/>
    </xf>
    <xf numFmtId="6" fontId="26" fillId="24" borderId="0" xfId="0" applyNumberFormat="1" applyFont="1" applyFill="1" applyAlignment="1">
      <alignment horizontal="right" vertical="center"/>
    </xf>
    <xf numFmtId="2" fontId="4" fillId="24" borderId="0" xfId="0" applyNumberFormat="1" applyFont="1" applyFill="1" applyAlignment="1">
      <alignment horizontal="right" vertical="center"/>
    </xf>
    <xf numFmtId="7" fontId="35" fillId="0" borderId="0" xfId="0" applyNumberFormat="1" applyFont="1" applyFill="1" applyAlignment="1">
      <alignment horizontal="left" vertical="center"/>
    </xf>
    <xf numFmtId="7" fontId="4" fillId="24" borderId="0" xfId="0" applyNumberFormat="1" applyFont="1" applyFill="1" applyAlignment="1">
      <alignment horizontal="center" vertical="center"/>
    </xf>
    <xf numFmtId="42" fontId="4" fillId="24" borderId="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horizontal="right" vertical="center"/>
    </xf>
    <xf numFmtId="7" fontId="4" fillId="24" borderId="0" xfId="0" applyNumberFormat="1" applyFont="1" applyFill="1" applyBorder="1" applyAlignment="1">
      <alignment horizontal="right" vertical="center"/>
    </xf>
    <xf numFmtId="42" fontId="26" fillId="24" borderId="0" xfId="0" applyNumberFormat="1" applyFont="1" applyFill="1" applyBorder="1" applyAlignment="1">
      <alignment horizontal="right" vertical="center"/>
    </xf>
    <xf numFmtId="41" fontId="4" fillId="24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49" fontId="26" fillId="0" borderId="0" xfId="28" applyNumberFormat="1" applyFont="1" applyAlignment="1">
      <alignment horizontal="right" vertical="center"/>
    </xf>
    <xf numFmtId="42" fontId="26" fillId="0" borderId="10" xfId="0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2" fontId="4" fillId="25" borderId="1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 horizontal="right" vertical="center"/>
    </xf>
    <xf numFmtId="7" fontId="26" fillId="26" borderId="0" xfId="0" applyNumberFormat="1" applyFont="1" applyFill="1" applyAlignment="1">
      <alignment horizontal="right" vertical="center"/>
    </xf>
    <xf numFmtId="7" fontId="26" fillId="26" borderId="0" xfId="0" applyNumberFormat="1" applyFont="1" applyFill="1" applyAlignment="1">
      <alignment horizontal="center" vertical="center"/>
    </xf>
    <xf numFmtId="49" fontId="26" fillId="26" borderId="11" xfId="28" applyNumberFormat="1" applyFont="1" applyFill="1" applyBorder="1" applyAlignment="1">
      <alignment horizontal="center" vertical="center"/>
    </xf>
    <xf numFmtId="42" fontId="26" fillId="26" borderId="0" xfId="0" applyNumberFormat="1" applyFont="1" applyFill="1" applyAlignment="1">
      <alignment horizontal="right" vertical="center"/>
    </xf>
    <xf numFmtId="42" fontId="26" fillId="26" borderId="0" xfId="0" applyNumberFormat="1" applyFont="1" applyFill="1" applyBorder="1" applyAlignment="1">
      <alignment horizontal="right" vertical="center"/>
    </xf>
    <xf numFmtId="42" fontId="26" fillId="26" borderId="10" xfId="0" applyNumberFormat="1" applyFont="1" applyFill="1" applyBorder="1" applyAlignment="1">
      <alignment horizontal="right" vertical="center"/>
    </xf>
    <xf numFmtId="7" fontId="26" fillId="27" borderId="0" xfId="0" applyNumberFormat="1" applyFont="1" applyFill="1" applyAlignment="1">
      <alignment horizontal="right" vertical="center"/>
    </xf>
    <xf numFmtId="7" fontId="26" fillId="27" borderId="0" xfId="0" applyNumberFormat="1" applyFont="1" applyFill="1" applyAlignment="1">
      <alignment horizontal="center" vertical="center"/>
    </xf>
    <xf numFmtId="49" fontId="26" fillId="27" borderId="11" xfId="28" applyNumberFormat="1" applyFont="1" applyFill="1" applyBorder="1" applyAlignment="1">
      <alignment horizontal="center" vertical="center"/>
    </xf>
    <xf numFmtId="42" fontId="26" fillId="27" borderId="0" xfId="0" applyNumberFormat="1" applyFont="1" applyFill="1" applyAlignment="1">
      <alignment horizontal="right" vertical="center"/>
    </xf>
    <xf numFmtId="42" fontId="26" fillId="27" borderId="0" xfId="0" applyNumberFormat="1" applyFont="1" applyFill="1" applyBorder="1" applyAlignment="1">
      <alignment horizontal="right" vertical="center"/>
    </xf>
    <xf numFmtId="42" fontId="26" fillId="27" borderId="10" xfId="0" applyNumberFormat="1" applyFont="1" applyFill="1" applyBorder="1" applyAlignment="1">
      <alignment horizontal="right" vertical="center"/>
    </xf>
    <xf numFmtId="7" fontId="26" fillId="28" borderId="0" xfId="0" applyNumberFormat="1" applyFont="1" applyFill="1" applyAlignment="1">
      <alignment horizontal="right" vertical="center"/>
    </xf>
    <xf numFmtId="7" fontId="26" fillId="28" borderId="0" xfId="0" applyNumberFormat="1" applyFont="1" applyFill="1" applyAlignment="1">
      <alignment horizontal="center" vertical="center"/>
    </xf>
    <xf numFmtId="49" fontId="26" fillId="28" borderId="11" xfId="28" applyNumberFormat="1" applyFont="1" applyFill="1" applyBorder="1" applyAlignment="1">
      <alignment horizontal="center" vertical="center"/>
    </xf>
    <xf numFmtId="42" fontId="26" fillId="28" borderId="0" xfId="0" applyNumberFormat="1" applyFont="1" applyFill="1" applyAlignment="1">
      <alignment horizontal="right" vertical="center"/>
    </xf>
    <xf numFmtId="42" fontId="26" fillId="28" borderId="0" xfId="0" applyNumberFormat="1" applyFont="1" applyFill="1" applyBorder="1" applyAlignment="1">
      <alignment horizontal="right" vertical="center"/>
    </xf>
    <xf numFmtId="42" fontId="26" fillId="28" borderId="10" xfId="0" applyNumberFormat="1" applyFont="1" applyFill="1" applyBorder="1" applyAlignment="1">
      <alignment horizontal="right" vertical="center"/>
    </xf>
    <xf numFmtId="7" fontId="26" fillId="25" borderId="0" xfId="0" applyNumberFormat="1" applyFont="1" applyFill="1" applyAlignment="1">
      <alignment horizontal="right" vertical="center"/>
    </xf>
    <xf numFmtId="7" fontId="26" fillId="25" borderId="0" xfId="0" applyNumberFormat="1" applyFont="1" applyFill="1" applyAlignment="1">
      <alignment horizontal="center" vertical="center"/>
    </xf>
    <xf numFmtId="49" fontId="26" fillId="25" borderId="11" xfId="28" applyNumberFormat="1" applyFont="1" applyFill="1" applyBorder="1" applyAlignment="1">
      <alignment horizontal="center" vertical="center"/>
    </xf>
    <xf numFmtId="42" fontId="26" fillId="25" borderId="0" xfId="0" applyNumberFormat="1" applyFont="1" applyFill="1" applyAlignment="1">
      <alignment horizontal="right" vertical="center"/>
    </xf>
    <xf numFmtId="42" fontId="26" fillId="25" borderId="0" xfId="0" applyNumberFormat="1" applyFont="1" applyFill="1" applyBorder="1" applyAlignment="1">
      <alignment horizontal="right" vertical="center"/>
    </xf>
    <xf numFmtId="42" fontId="26" fillId="25" borderId="10" xfId="0" applyNumberFormat="1" applyFont="1" applyFill="1" applyBorder="1" applyAlignment="1">
      <alignment horizontal="right" vertical="center"/>
    </xf>
    <xf numFmtId="49" fontId="4" fillId="0" borderId="0" xfId="28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right" vertical="center"/>
    </xf>
    <xf numFmtId="7" fontId="26" fillId="29" borderId="0" xfId="0" applyNumberFormat="1" applyFont="1" applyFill="1" applyAlignment="1">
      <alignment horizontal="right" vertical="center"/>
    </xf>
    <xf numFmtId="7" fontId="26" fillId="29" borderId="0" xfId="0" applyNumberFormat="1" applyFont="1" applyFill="1" applyAlignment="1">
      <alignment horizontal="center" vertical="center"/>
    </xf>
    <xf numFmtId="49" fontId="26" fillId="29" borderId="11" xfId="28" applyNumberFormat="1" applyFont="1" applyFill="1" applyBorder="1" applyAlignment="1">
      <alignment horizontal="center" vertical="center"/>
    </xf>
    <xf numFmtId="42" fontId="26" fillId="29" borderId="0" xfId="0" applyNumberFormat="1" applyFont="1" applyFill="1" applyAlignment="1">
      <alignment horizontal="right" vertical="center"/>
    </xf>
    <xf numFmtId="42" fontId="26" fillId="29" borderId="0" xfId="0" applyNumberFormat="1" applyFont="1" applyFill="1" applyBorder="1" applyAlignment="1">
      <alignment horizontal="right" vertical="center"/>
    </xf>
    <xf numFmtId="42" fontId="26" fillId="29" borderId="10" xfId="0" applyNumberFormat="1" applyFont="1" applyFill="1" applyBorder="1" applyAlignment="1">
      <alignment horizontal="right" vertical="center"/>
    </xf>
    <xf numFmtId="7" fontId="26" fillId="27" borderId="0" xfId="0" quotePrefix="1" applyNumberFormat="1" applyFont="1" applyFill="1" applyAlignment="1">
      <alignment horizontal="center" vertical="center"/>
    </xf>
    <xf numFmtId="7" fontId="26" fillId="29" borderId="0" xfId="0" quotePrefix="1" applyNumberFormat="1" applyFont="1" applyFill="1" applyAlignment="1">
      <alignment horizontal="center" vertical="center"/>
    </xf>
    <xf numFmtId="7" fontId="26" fillId="26" borderId="0" xfId="0" quotePrefix="1" applyNumberFormat="1" applyFont="1" applyFill="1" applyAlignment="1">
      <alignment horizontal="center" vertical="center"/>
    </xf>
    <xf numFmtId="7" fontId="26" fillId="25" borderId="0" xfId="0" quotePrefix="1" applyNumberFormat="1" applyFont="1" applyFill="1" applyAlignment="1">
      <alignment horizontal="center" vertical="center"/>
    </xf>
    <xf numFmtId="44" fontId="4" fillId="0" borderId="0" xfId="0" applyNumberFormat="1" applyFont="1" applyFill="1" applyBorder="1" applyAlignment="1">
      <alignment horizontal="right" vertical="center"/>
    </xf>
    <xf numFmtId="7" fontId="4" fillId="0" borderId="0" xfId="0" applyNumberFormat="1" applyFont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165" fontId="4" fillId="24" borderId="0" xfId="0" applyNumberFormat="1" applyFont="1" applyFill="1" applyAlignment="1">
      <alignment horizontal="right" vertical="center"/>
    </xf>
    <xf numFmtId="0" fontId="37" fillId="0" borderId="0" xfId="44" applyFont="1" applyAlignment="1">
      <alignment horizontal="centerContinuous"/>
    </xf>
    <xf numFmtId="4" fontId="37" fillId="0" borderId="0" xfId="44" applyNumberFormat="1" applyFont="1" applyAlignment="1">
      <alignment horizontal="centerContinuous"/>
    </xf>
    <xf numFmtId="42" fontId="37" fillId="0" borderId="0" xfId="44" applyNumberFormat="1" applyFont="1" applyAlignment="1">
      <alignment horizontal="centerContinuous"/>
    </xf>
    <xf numFmtId="3" fontId="37" fillId="0" borderId="0" xfId="44" applyNumberFormat="1" applyFont="1" applyAlignment="1">
      <alignment horizontal="centerContinuous"/>
    </xf>
    <xf numFmtId="0" fontId="36" fillId="0" borderId="0" xfId="44"/>
    <xf numFmtId="14" fontId="37" fillId="0" borderId="0" xfId="44" applyNumberFormat="1" applyFont="1" applyAlignment="1">
      <alignment horizontal="centerContinuous"/>
    </xf>
    <xf numFmtId="0" fontId="38" fillId="0" borderId="0" xfId="44" applyFont="1" applyAlignment="1">
      <alignment horizontal="center"/>
    </xf>
    <xf numFmtId="4" fontId="38" fillId="0" borderId="0" xfId="44" applyNumberFormat="1" applyFont="1" applyAlignment="1">
      <alignment horizontal="center"/>
    </xf>
    <xf numFmtId="42" fontId="38" fillId="0" borderId="0" xfId="44" applyNumberFormat="1" applyFont="1" applyAlignment="1">
      <alignment horizontal="center" wrapText="1"/>
    </xf>
    <xf numFmtId="4" fontId="38" fillId="30" borderId="0" xfId="44" applyNumberFormat="1" applyFont="1" applyFill="1" applyAlignment="1">
      <alignment horizontal="center"/>
    </xf>
    <xf numFmtId="3" fontId="38" fillId="0" borderId="0" xfId="44" applyNumberFormat="1" applyFont="1" applyAlignment="1">
      <alignment horizontal="center" wrapText="1"/>
    </xf>
    <xf numFmtId="3" fontId="38" fillId="30" borderId="0" xfId="44" applyNumberFormat="1" applyFont="1" applyFill="1" applyAlignment="1">
      <alignment horizontal="center"/>
    </xf>
    <xf numFmtId="3" fontId="38" fillId="0" borderId="0" xfId="44" applyNumberFormat="1" applyFont="1" applyAlignment="1">
      <alignment horizontal="center"/>
    </xf>
    <xf numFmtId="4" fontId="36" fillId="0" borderId="0" xfId="44" applyNumberFormat="1"/>
    <xf numFmtId="42" fontId="36" fillId="0" borderId="0" xfId="44" applyNumberFormat="1" applyFont="1"/>
    <xf numFmtId="4" fontId="36" fillId="30" borderId="0" xfId="44" applyNumberFormat="1" applyFill="1"/>
    <xf numFmtId="3" fontId="36" fillId="30" borderId="0" xfId="44" applyNumberFormat="1" applyFont="1" applyFill="1"/>
    <xf numFmtId="166" fontId="36" fillId="0" borderId="0" xfId="44" applyNumberFormat="1" applyFont="1"/>
    <xf numFmtId="42" fontId="36" fillId="0" borderId="0" xfId="44" applyNumberFormat="1"/>
    <xf numFmtId="44" fontId="36" fillId="0" borderId="0" xfId="44" applyNumberFormat="1"/>
    <xf numFmtId="3" fontId="36" fillId="0" borderId="0" xfId="44" applyNumberFormat="1" applyFont="1"/>
    <xf numFmtId="44" fontId="36" fillId="0" borderId="0" xfId="44" applyNumberFormat="1" applyFont="1"/>
    <xf numFmtId="4" fontId="36" fillId="30" borderId="0" xfId="44" applyNumberFormat="1" applyFont="1" applyFill="1"/>
    <xf numFmtId="42" fontId="36" fillId="0" borderId="0" xfId="44" applyNumberFormat="1" applyFont="1" applyFill="1"/>
    <xf numFmtId="43" fontId="4" fillId="0" borderId="0" xfId="0" applyNumberFormat="1" applyFont="1" applyAlignment="1">
      <alignment horizontal="right" vertical="center"/>
    </xf>
    <xf numFmtId="43" fontId="28" fillId="0" borderId="0" xfId="0" applyNumberFormat="1" applyFont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3" fontId="28" fillId="0" borderId="0" xfId="0" applyNumberFormat="1" applyFont="1" applyFill="1" applyAlignment="1">
      <alignment horizontal="right" vertical="center"/>
    </xf>
    <xf numFmtId="7" fontId="26" fillId="28" borderId="0" xfId="0" quotePrefix="1" applyNumberFormat="1" applyFont="1" applyFill="1" applyAlignment="1">
      <alignment horizontal="center" vertical="center"/>
    </xf>
    <xf numFmtId="7" fontId="26" fillId="0" borderId="0" xfId="0" applyNumberFormat="1" applyFont="1" applyAlignment="1">
      <alignment horizontal="center" vertical="center"/>
    </xf>
    <xf numFmtId="43" fontId="26" fillId="0" borderId="0" xfId="0" applyNumberFormat="1" applyFont="1" applyAlignment="1">
      <alignment horizontal="center" vertical="center"/>
    </xf>
    <xf numFmtId="42" fontId="4" fillId="0" borderId="0" xfId="0" applyNumberFormat="1" applyFont="1" applyAlignment="1">
      <alignment horizontal="left" vertical="center"/>
    </xf>
    <xf numFmtId="42" fontId="26" fillId="0" borderId="0" xfId="0" applyNumberFormat="1" applyFont="1" applyBorder="1" applyAlignment="1">
      <alignment horizontal="right" vertical="center"/>
    </xf>
    <xf numFmtId="43" fontId="26" fillId="0" borderId="0" xfId="0" applyNumberFormat="1" applyFont="1" applyAlignment="1">
      <alignment horizontal="right" vertical="center"/>
    </xf>
    <xf numFmtId="49" fontId="4" fillId="0" borderId="0" xfId="28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1" fontId="4" fillId="24" borderId="0" xfId="0" applyNumberFormat="1" applyFont="1" applyFill="1" applyBorder="1" applyAlignment="1">
      <alignment horizontal="right" vertical="center"/>
    </xf>
    <xf numFmtId="41" fontId="28" fillId="0" borderId="0" xfId="0" applyNumberFormat="1" applyFont="1" applyFill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26" fillId="24" borderId="0" xfId="0" applyNumberFormat="1" applyFont="1" applyFill="1" applyBorder="1" applyAlignment="1">
      <alignment horizontal="right" vertical="center"/>
    </xf>
    <xf numFmtId="41" fontId="26" fillId="24" borderId="0" xfId="0" applyNumberFormat="1" applyFont="1" applyFill="1" applyAlignment="1">
      <alignment horizontal="right" vertical="center"/>
    </xf>
    <xf numFmtId="42" fontId="4" fillId="31" borderId="0" xfId="0" applyNumberFormat="1" applyFont="1" applyFill="1" applyAlignment="1">
      <alignment horizontal="right" vertical="center"/>
    </xf>
    <xf numFmtId="41" fontId="4" fillId="24" borderId="10" xfId="0" applyNumberFormat="1" applyFont="1" applyFill="1" applyBorder="1" applyAlignment="1">
      <alignment horizontal="right" vertical="center"/>
    </xf>
    <xf numFmtId="7" fontId="26" fillId="0" borderId="0" xfId="0" quotePrefix="1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left" vertical="center"/>
    </xf>
    <xf numFmtId="166" fontId="26" fillId="0" borderId="0" xfId="0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42" fontId="26" fillId="0" borderId="0" xfId="28" applyNumberFormat="1" applyFont="1" applyAlignment="1">
      <alignment horizontal="right" vertical="center"/>
    </xf>
    <xf numFmtId="7" fontId="4" fillId="32" borderId="0" xfId="0" applyNumberFormat="1" applyFont="1" applyFill="1" applyAlignment="1">
      <alignment horizontal="right" vertical="center"/>
    </xf>
    <xf numFmtId="7" fontId="4" fillId="32" borderId="0" xfId="0" applyNumberFormat="1" applyFont="1" applyFill="1" applyAlignment="1">
      <alignment horizontal="center" vertical="center"/>
    </xf>
    <xf numFmtId="49" fontId="4" fillId="32" borderId="0" xfId="28" applyNumberFormat="1" applyFont="1" applyFill="1" applyAlignment="1">
      <alignment horizontal="right" vertical="center"/>
    </xf>
    <xf numFmtId="42" fontId="4" fillId="32" borderId="0" xfId="0" applyNumberFormat="1" applyFont="1" applyFill="1" applyAlignment="1">
      <alignment horizontal="right" vertical="center"/>
    </xf>
    <xf numFmtId="42" fontId="4" fillId="32" borderId="10" xfId="0" applyNumberFormat="1" applyFont="1" applyFill="1" applyBorder="1" applyAlignment="1">
      <alignment horizontal="right" vertical="center"/>
    </xf>
    <xf numFmtId="42" fontId="26" fillId="32" borderId="0" xfId="0" applyNumberFormat="1" applyFont="1" applyFill="1" applyAlignment="1">
      <alignment horizontal="right" vertical="center"/>
    </xf>
    <xf numFmtId="7" fontId="4" fillId="33" borderId="0" xfId="0" applyNumberFormat="1" applyFont="1" applyFill="1" applyAlignment="1">
      <alignment horizontal="right" vertical="center"/>
    </xf>
    <xf numFmtId="7" fontId="4" fillId="33" borderId="0" xfId="0" applyNumberFormat="1" applyFont="1" applyFill="1" applyAlignment="1">
      <alignment horizontal="center" vertical="center"/>
    </xf>
    <xf numFmtId="49" fontId="4" fillId="33" borderId="0" xfId="28" applyNumberFormat="1" applyFont="1" applyFill="1" applyAlignment="1">
      <alignment horizontal="right" vertical="center"/>
    </xf>
    <xf numFmtId="42" fontId="4" fillId="33" borderId="0" xfId="0" applyNumberFormat="1" applyFont="1" applyFill="1" applyAlignment="1">
      <alignment horizontal="right" vertical="center"/>
    </xf>
    <xf numFmtId="42" fontId="4" fillId="33" borderId="10" xfId="0" applyNumberFormat="1" applyFont="1" applyFill="1" applyBorder="1" applyAlignment="1">
      <alignment horizontal="right" vertical="center"/>
    </xf>
    <xf numFmtId="42" fontId="26" fillId="33" borderId="0" xfId="0" applyNumberFormat="1" applyFont="1" applyFill="1" applyAlignment="1">
      <alignment horizontal="right" vertical="center"/>
    </xf>
    <xf numFmtId="7" fontId="4" fillId="34" borderId="0" xfId="0" applyNumberFormat="1" applyFont="1" applyFill="1" applyAlignment="1">
      <alignment horizontal="right" vertical="center"/>
    </xf>
    <xf numFmtId="2" fontId="4" fillId="34" borderId="0" xfId="0" applyNumberFormat="1" applyFont="1" applyFill="1" applyAlignment="1">
      <alignment horizontal="center" vertical="center"/>
    </xf>
    <xf numFmtId="7" fontId="4" fillId="34" borderId="0" xfId="0" applyNumberFormat="1" applyFont="1" applyFill="1" applyAlignment="1">
      <alignment horizontal="center" vertical="center"/>
    </xf>
    <xf numFmtId="49" fontId="4" fillId="34" borderId="0" xfId="28" applyNumberFormat="1" applyFont="1" applyFill="1" applyAlignment="1">
      <alignment horizontal="right" vertical="center"/>
    </xf>
    <xf numFmtId="42" fontId="4" fillId="34" borderId="0" xfId="0" applyNumberFormat="1" applyFont="1" applyFill="1" applyAlignment="1">
      <alignment horizontal="right" vertical="center"/>
    </xf>
    <xf numFmtId="42" fontId="4" fillId="34" borderId="10" xfId="0" applyNumberFormat="1" applyFont="1" applyFill="1" applyBorder="1" applyAlignment="1">
      <alignment horizontal="right" vertical="center"/>
    </xf>
    <xf numFmtId="42" fontId="26" fillId="34" borderId="0" xfId="0" applyNumberFormat="1" applyFont="1" applyFill="1" applyAlignment="1">
      <alignment horizontal="right" vertical="center"/>
    </xf>
    <xf numFmtId="42" fontId="4" fillId="28" borderId="0" xfId="0" applyNumberFormat="1" applyFont="1" applyFill="1" applyAlignment="1">
      <alignment horizontal="right" vertical="center"/>
    </xf>
    <xf numFmtId="7" fontId="4" fillId="28" borderId="0" xfId="0" applyNumberFormat="1" applyFont="1" applyFill="1" applyAlignment="1">
      <alignment horizontal="right" vertical="center"/>
    </xf>
    <xf numFmtId="2" fontId="4" fillId="28" borderId="0" xfId="0" applyNumberFormat="1" applyFont="1" applyFill="1" applyAlignment="1">
      <alignment horizontal="center" vertical="center"/>
    </xf>
    <xf numFmtId="7" fontId="4" fillId="28" borderId="0" xfId="0" applyNumberFormat="1" applyFont="1" applyFill="1" applyAlignment="1">
      <alignment horizontal="center" vertical="center"/>
    </xf>
    <xf numFmtId="49" fontId="4" fillId="28" borderId="0" xfId="28" applyNumberFormat="1" applyFont="1" applyFill="1" applyAlignment="1">
      <alignment horizontal="right" vertical="center"/>
    </xf>
    <xf numFmtId="42" fontId="4" fillId="28" borderId="10" xfId="0" applyNumberFormat="1" applyFont="1" applyFill="1" applyBorder="1" applyAlignment="1">
      <alignment horizontal="right" vertical="center"/>
    </xf>
    <xf numFmtId="7" fontId="4" fillId="25" borderId="0" xfId="0" applyNumberFormat="1" applyFont="1" applyFill="1" applyAlignment="1">
      <alignment horizontal="right" vertical="center"/>
    </xf>
    <xf numFmtId="2" fontId="28" fillId="25" borderId="0" xfId="0" applyNumberFormat="1" applyFont="1" applyFill="1" applyAlignment="1">
      <alignment horizontal="center" vertical="center"/>
    </xf>
    <xf numFmtId="7" fontId="4" fillId="25" borderId="0" xfId="0" applyNumberFormat="1" applyFont="1" applyFill="1" applyAlignment="1">
      <alignment horizontal="center" vertical="center"/>
    </xf>
    <xf numFmtId="49" fontId="4" fillId="25" borderId="0" xfId="28" applyNumberFormat="1" applyFont="1" applyFill="1" applyAlignment="1">
      <alignment horizontal="right" vertical="center"/>
    </xf>
    <xf numFmtId="42" fontId="4" fillId="25" borderId="0" xfId="0" applyNumberFormat="1" applyFont="1" applyFill="1" applyAlignment="1">
      <alignment horizontal="right" vertical="center"/>
    </xf>
    <xf numFmtId="2" fontId="28" fillId="32" borderId="0" xfId="0" applyNumberFormat="1" applyFont="1" applyFill="1" applyAlignment="1">
      <alignment horizontal="center" vertical="center"/>
    </xf>
    <xf numFmtId="2" fontId="28" fillId="33" borderId="0" xfId="0" applyNumberFormat="1" applyFont="1" applyFill="1" applyAlignment="1">
      <alignment horizontal="center" vertical="center"/>
    </xf>
    <xf numFmtId="7" fontId="4" fillId="35" borderId="0" xfId="0" applyNumberFormat="1" applyFont="1" applyFill="1" applyAlignment="1">
      <alignment horizontal="right" vertical="center"/>
    </xf>
    <xf numFmtId="2" fontId="28" fillId="35" borderId="0" xfId="0" applyNumberFormat="1" applyFont="1" applyFill="1" applyAlignment="1">
      <alignment horizontal="center" vertical="center"/>
    </xf>
    <xf numFmtId="7" fontId="4" fillId="35" borderId="0" xfId="0" applyNumberFormat="1" applyFont="1" applyFill="1" applyAlignment="1">
      <alignment horizontal="center" vertical="center"/>
    </xf>
    <xf numFmtId="49" fontId="4" fillId="35" borderId="0" xfId="28" applyNumberFormat="1" applyFont="1" applyFill="1" applyAlignment="1">
      <alignment horizontal="right" vertical="center"/>
    </xf>
    <xf numFmtId="42" fontId="4" fillId="35" borderId="0" xfId="0" applyNumberFormat="1" applyFont="1" applyFill="1" applyAlignment="1">
      <alignment horizontal="right" vertical="center"/>
    </xf>
    <xf numFmtId="42" fontId="4" fillId="35" borderId="10" xfId="0" applyNumberFormat="1" applyFont="1" applyFill="1" applyBorder="1" applyAlignment="1">
      <alignment horizontal="right" vertical="center"/>
    </xf>
    <xf numFmtId="42" fontId="26" fillId="35" borderId="0" xfId="0" applyNumberFormat="1" applyFont="1" applyFill="1" applyAlignment="1">
      <alignment horizontal="right" vertical="center"/>
    </xf>
    <xf numFmtId="41" fontId="4" fillId="32" borderId="0" xfId="0" applyNumberFormat="1" applyFont="1" applyFill="1" applyAlignment="1">
      <alignment horizontal="right" vertical="center"/>
    </xf>
    <xf numFmtId="41" fontId="4" fillId="32" borderId="10" xfId="0" applyNumberFormat="1" applyFont="1" applyFill="1" applyBorder="1" applyAlignment="1">
      <alignment horizontal="right" vertical="center"/>
    </xf>
    <xf numFmtId="42" fontId="4" fillId="36" borderId="0" xfId="0" applyNumberFormat="1" applyFont="1" applyFill="1" applyAlignment="1">
      <alignment horizontal="right" vertical="center"/>
    </xf>
    <xf numFmtId="42" fontId="4" fillId="36" borderId="10" xfId="0" applyNumberFormat="1" applyFont="1" applyFill="1" applyBorder="1" applyAlignment="1">
      <alignment horizontal="right" vertical="center"/>
    </xf>
    <xf numFmtId="165" fontId="4" fillId="36" borderId="0" xfId="0" applyNumberFormat="1" applyFont="1" applyFill="1" applyAlignment="1">
      <alignment horizontal="right" vertical="center"/>
    </xf>
    <xf numFmtId="42" fontId="42" fillId="0" borderId="0" xfId="0" applyNumberFormat="1" applyFont="1" applyAlignment="1">
      <alignment horizontal="right" vertical="center"/>
    </xf>
    <xf numFmtId="42" fontId="42" fillId="0" borderId="10" xfId="0" applyNumberFormat="1" applyFont="1" applyFill="1" applyBorder="1" applyAlignment="1">
      <alignment horizontal="right" vertical="center"/>
    </xf>
    <xf numFmtId="42" fontId="42" fillId="0" borderId="10" xfId="0" applyNumberFormat="1" applyFont="1" applyBorder="1" applyAlignment="1">
      <alignment horizontal="right" vertical="center"/>
    </xf>
    <xf numFmtId="0" fontId="2" fillId="0" borderId="0" xfId="44" applyFont="1"/>
    <xf numFmtId="0" fontId="36" fillId="31" borderId="0" xfId="44" applyFill="1"/>
    <xf numFmtId="4" fontId="36" fillId="31" borderId="0" xfId="44" applyNumberFormat="1" applyFill="1"/>
    <xf numFmtId="42" fontId="44" fillId="0" borderId="0" xfId="45" applyNumberFormat="1" applyFont="1" applyAlignment="1">
      <alignment horizontal="right" vertical="center"/>
    </xf>
    <xf numFmtId="0" fontId="45" fillId="0" borderId="0" xfId="0" applyFont="1"/>
    <xf numFmtId="6" fontId="45" fillId="0" borderId="0" xfId="0" applyNumberFormat="1" applyFont="1"/>
    <xf numFmtId="6" fontId="4" fillId="0" borderId="0" xfId="0" applyNumberFormat="1" applyFont="1" applyAlignment="1">
      <alignment horizontal="right" vertical="center"/>
    </xf>
    <xf numFmtId="7" fontId="4" fillId="0" borderId="0" xfId="45" applyNumberFormat="1" applyFont="1" applyAlignment="1">
      <alignment horizontal="right" vertical="center"/>
    </xf>
    <xf numFmtId="41" fontId="26" fillId="0" borderId="0" xfId="45" applyNumberFormat="1" applyFont="1" applyFill="1" applyAlignment="1">
      <alignment horizontal="right" vertical="center"/>
    </xf>
    <xf numFmtId="165" fontId="4" fillId="0" borderId="0" xfId="45" applyNumberFormat="1" applyFont="1" applyAlignment="1">
      <alignment horizontal="right" vertical="center"/>
    </xf>
    <xf numFmtId="49" fontId="4" fillId="0" borderId="0" xfId="45" applyNumberFormat="1" applyFont="1" applyAlignment="1">
      <alignment horizontal="right" vertical="center"/>
    </xf>
    <xf numFmtId="165" fontId="26" fillId="0" borderId="0" xfId="45" applyNumberFormat="1" applyFont="1" applyFill="1" applyAlignment="1">
      <alignment horizontal="right" vertical="center"/>
    </xf>
    <xf numFmtId="42" fontId="4" fillId="0" borderId="0" xfId="45" applyNumberFormat="1" applyFont="1" applyAlignment="1">
      <alignment horizontal="right" vertical="center"/>
    </xf>
    <xf numFmtId="42" fontId="4" fillId="0" borderId="0" xfId="45" applyNumberFormat="1" applyFont="1" applyBorder="1" applyAlignment="1">
      <alignment horizontal="right" vertical="center"/>
    </xf>
    <xf numFmtId="42" fontId="26" fillId="0" borderId="0" xfId="45" applyNumberFormat="1" applyFont="1" applyFill="1" applyBorder="1" applyAlignment="1">
      <alignment horizontal="right" vertical="center"/>
    </xf>
    <xf numFmtId="42" fontId="4" fillId="0" borderId="10" xfId="45" applyNumberFormat="1" applyFont="1" applyBorder="1" applyAlignment="1">
      <alignment horizontal="right" vertical="center"/>
    </xf>
    <xf numFmtId="42" fontId="26" fillId="0" borderId="10" xfId="45" applyNumberFormat="1" applyFont="1" applyFill="1" applyBorder="1" applyAlignment="1">
      <alignment horizontal="right" vertical="center"/>
    </xf>
    <xf numFmtId="42" fontId="26" fillId="0" borderId="0" xfId="45" applyNumberFormat="1" applyFont="1" applyAlignment="1">
      <alignment horizontal="right" vertical="center"/>
    </xf>
    <xf numFmtId="42" fontId="26" fillId="0" borderId="0" xfId="45" applyNumberFormat="1" applyFont="1" applyFill="1" applyAlignment="1">
      <alignment horizontal="right" vertical="center"/>
    </xf>
    <xf numFmtId="7" fontId="26" fillId="0" borderId="0" xfId="45" applyNumberFormat="1" applyFont="1" applyAlignment="1">
      <alignment horizontal="right" vertical="center"/>
    </xf>
    <xf numFmtId="42" fontId="4" fillId="0" borderId="0" xfId="45" applyNumberFormat="1" applyFont="1" applyFill="1" applyAlignment="1">
      <alignment horizontal="right" vertical="center"/>
    </xf>
    <xf numFmtId="42" fontId="4" fillId="0" borderId="10" xfId="45" applyNumberFormat="1" applyFont="1" applyFill="1" applyBorder="1" applyAlignment="1">
      <alignment horizontal="right" vertical="center"/>
    </xf>
    <xf numFmtId="165" fontId="4" fillId="0" borderId="0" xfId="45" applyNumberFormat="1" applyFont="1" applyBorder="1" applyAlignment="1">
      <alignment horizontal="right" vertical="center"/>
    </xf>
    <xf numFmtId="165" fontId="4" fillId="0" borderId="10" xfId="45" applyNumberFormat="1" applyFont="1" applyBorder="1" applyAlignment="1">
      <alignment horizontal="right" vertical="center"/>
    </xf>
    <xf numFmtId="7" fontId="4" fillId="0" borderId="0" xfId="45" applyNumberFormat="1" applyFont="1" applyBorder="1" applyAlignment="1">
      <alignment horizontal="right" vertical="center"/>
    </xf>
    <xf numFmtId="167" fontId="4" fillId="0" borderId="0" xfId="45" applyNumberFormat="1" applyFont="1" applyBorder="1" applyAlignment="1">
      <alignment horizontal="right" vertical="center"/>
    </xf>
    <xf numFmtId="1" fontId="4" fillId="0" borderId="0" xfId="28" applyNumberFormat="1" applyFont="1" applyAlignment="1">
      <alignment horizontal="right" vertical="center"/>
    </xf>
    <xf numFmtId="7" fontId="46" fillId="0" borderId="0" xfId="0" applyNumberFormat="1" applyFont="1" applyFill="1" applyAlignment="1">
      <alignment horizontal="left" vertical="center"/>
    </xf>
    <xf numFmtId="49" fontId="4" fillId="0" borderId="11" xfId="28" applyNumberFormat="1" applyFont="1" applyBorder="1" applyAlignment="1">
      <alignment horizontal="center" vertical="center"/>
    </xf>
    <xf numFmtId="49" fontId="4" fillId="0" borderId="11" xfId="28" applyNumberFormat="1" applyFont="1" applyBorder="1" applyAlignment="1">
      <alignment horizontal="right" vertical="center"/>
    </xf>
    <xf numFmtId="49" fontId="26" fillId="0" borderId="11" xfId="28" applyNumberFormat="1" applyFont="1" applyBorder="1" applyAlignment="1">
      <alignment horizontal="center" vertical="center"/>
    </xf>
    <xf numFmtId="166" fontId="11" fillId="0" borderId="0" xfId="38" applyNumberFormat="1"/>
    <xf numFmtId="7" fontId="26" fillId="0" borderId="0" xfId="46" applyNumberFormat="1" applyFont="1" applyFill="1" applyAlignment="1">
      <alignment horizontal="right" vertical="center"/>
    </xf>
    <xf numFmtId="0" fontId="1" fillId="0" borderId="0" xfId="46"/>
    <xf numFmtId="7" fontId="26" fillId="0" borderId="0" xfId="46" quotePrefix="1" applyNumberFormat="1" applyFont="1" applyFill="1" applyAlignment="1">
      <alignment horizontal="right" vertical="center"/>
    </xf>
    <xf numFmtId="164" fontId="4" fillId="0" borderId="0" xfId="47" applyNumberFormat="1" applyFont="1" applyFill="1" applyAlignment="1">
      <alignment horizontal="left" vertical="center"/>
    </xf>
    <xf numFmtId="49" fontId="26" fillId="0" borderId="0" xfId="46" applyNumberFormat="1" applyFont="1" applyFill="1" applyAlignment="1">
      <alignment horizontal="right" vertical="center"/>
    </xf>
    <xf numFmtId="164" fontId="4" fillId="0" borderId="0" xfId="46" applyNumberFormat="1" applyFont="1" applyFill="1" applyAlignment="1">
      <alignment horizontal="left" vertical="center"/>
    </xf>
    <xf numFmtId="7" fontId="26" fillId="27" borderId="0" xfId="46" applyNumberFormat="1" applyFont="1" applyFill="1" applyAlignment="1">
      <alignment horizontal="center" vertical="center"/>
    </xf>
    <xf numFmtId="7" fontId="4" fillId="0" borderId="0" xfId="46" applyNumberFormat="1" applyFont="1" applyFill="1" applyAlignment="1">
      <alignment horizontal="left" vertical="center"/>
    </xf>
    <xf numFmtId="7" fontId="26" fillId="27" borderId="0" xfId="46" quotePrefix="1" applyNumberFormat="1" applyFont="1" applyFill="1" applyAlignment="1">
      <alignment horizontal="center" vertical="center"/>
    </xf>
    <xf numFmtId="49" fontId="4" fillId="0" borderId="11" xfId="47" applyNumberFormat="1" applyFont="1" applyFill="1" applyBorder="1" applyAlignment="1">
      <alignment horizontal="left" vertical="center"/>
    </xf>
    <xf numFmtId="49" fontId="26" fillId="27" borderId="11" xfId="47" applyNumberFormat="1" applyFont="1" applyFill="1" applyBorder="1" applyAlignment="1">
      <alignment horizontal="center" vertical="center"/>
    </xf>
    <xf numFmtId="7" fontId="26" fillId="27" borderId="0" xfId="46" applyNumberFormat="1" applyFont="1" applyFill="1" applyAlignment="1">
      <alignment horizontal="right" vertical="center"/>
    </xf>
    <xf numFmtId="42" fontId="26" fillId="27" borderId="0" xfId="46" applyNumberFormat="1" applyFont="1" applyFill="1" applyAlignment="1">
      <alignment horizontal="right" vertical="center"/>
    </xf>
    <xf numFmtId="42" fontId="26" fillId="27" borderId="0" xfId="46" applyNumberFormat="1" applyFont="1" applyFill="1" applyBorder="1" applyAlignment="1">
      <alignment horizontal="right" vertical="center"/>
    </xf>
    <xf numFmtId="41" fontId="1" fillId="0" borderId="0" xfId="46" applyNumberFormat="1"/>
    <xf numFmtId="42" fontId="26" fillId="27" borderId="10" xfId="46" applyNumberFormat="1" applyFont="1" applyFill="1" applyBorder="1" applyAlignment="1">
      <alignment horizontal="right" vertical="center"/>
    </xf>
    <xf numFmtId="41" fontId="26" fillId="27" borderId="0" xfId="46" applyNumberFormat="1" applyFont="1" applyFill="1" applyAlignment="1">
      <alignment horizontal="right" vertical="center"/>
    </xf>
    <xf numFmtId="7" fontId="26" fillId="0" borderId="0" xfId="46" applyNumberFormat="1" applyFont="1" applyFill="1" applyAlignment="1">
      <alignment horizontal="left" vertical="center"/>
    </xf>
    <xf numFmtId="7" fontId="4" fillId="0" borderId="0" xfId="46" applyNumberFormat="1" applyFont="1" applyFill="1" applyAlignment="1">
      <alignment horizontal="right" vertical="center"/>
    </xf>
    <xf numFmtId="0" fontId="47" fillId="0" borderId="0" xfId="0" applyNumberFormat="1" applyFont="1" applyFill="1" applyBorder="1" applyAlignment="1" applyProtection="1"/>
    <xf numFmtId="42" fontId="26" fillId="37" borderId="0" xfId="0" applyNumberFormat="1" applyFont="1" applyFill="1" applyAlignment="1">
      <alignment horizontal="right" vertical="center"/>
    </xf>
    <xf numFmtId="42" fontId="44" fillId="37" borderId="0" xfId="0" applyNumberFormat="1" applyFont="1" applyFill="1" applyBorder="1" applyAlignment="1" applyProtection="1"/>
    <xf numFmtId="42" fontId="47" fillId="37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/>
    <xf numFmtId="42" fontId="44" fillId="0" borderId="0" xfId="0" applyNumberFormat="1" applyFont="1" applyFill="1" applyBorder="1" applyAlignment="1" applyProtection="1"/>
    <xf numFmtId="42" fontId="44" fillId="0" borderId="10" xfId="0" applyNumberFormat="1" applyFont="1" applyFill="1" applyBorder="1" applyAlignment="1" applyProtection="1"/>
    <xf numFmtId="7" fontId="26" fillId="0" borderId="0" xfId="0" applyNumberFormat="1" applyFont="1" applyFill="1" applyAlignment="1">
      <alignment horizontal="center" vertical="center"/>
    </xf>
    <xf numFmtId="7" fontId="26" fillId="0" borderId="0" xfId="0" quotePrefix="1" applyNumberFormat="1" applyFont="1" applyFill="1" applyAlignment="1">
      <alignment horizontal="center" vertical="center"/>
    </xf>
    <xf numFmtId="49" fontId="26" fillId="0" borderId="0" xfId="28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 applyProtection="1"/>
    <xf numFmtId="41" fontId="44" fillId="0" borderId="0" xfId="0" applyNumberFormat="1" applyFont="1" applyFill="1" applyBorder="1" applyAlignment="1" applyProtection="1"/>
    <xf numFmtId="41" fontId="44" fillId="0" borderId="1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44" fillId="0" borderId="0" xfId="0" applyFont="1" applyFill="1" applyBorder="1" applyAlignment="1" applyProtection="1"/>
    <xf numFmtId="42" fontId="48" fillId="37" borderId="0" xfId="0" applyNumberFormat="1" applyFont="1" applyFill="1" applyBorder="1" applyAlignment="1" applyProtection="1"/>
    <xf numFmtId="42" fontId="26" fillId="37" borderId="12" xfId="0" applyNumberFormat="1" applyFont="1" applyFill="1" applyBorder="1" applyAlignment="1">
      <alignment horizontal="right" vertical="center"/>
    </xf>
    <xf numFmtId="43" fontId="44" fillId="0" borderId="0" xfId="0" applyNumberFormat="1" applyFont="1" applyFill="1" applyBorder="1" applyAlignment="1" applyProtection="1"/>
    <xf numFmtId="49" fontId="4" fillId="0" borderId="11" xfId="28" quotePrefix="1" applyNumberFormat="1" applyFont="1" applyBorder="1" applyAlignment="1">
      <alignment horizontal="right" vertical="center"/>
    </xf>
    <xf numFmtId="164" fontId="26" fillId="0" borderId="0" xfId="0" applyNumberFormat="1" applyFont="1" applyFill="1" applyAlignment="1">
      <alignment horizontal="left" vertical="center"/>
    </xf>
    <xf numFmtId="49" fontId="4" fillId="24" borderId="11" xfId="28" applyNumberFormat="1" applyFont="1" applyFill="1" applyBorder="1" applyAlignment="1">
      <alignment horizontal="right" vertical="center"/>
    </xf>
    <xf numFmtId="49" fontId="4" fillId="0" borderId="11" xfId="28" applyNumberFormat="1" applyFont="1" applyFill="1" applyBorder="1" applyAlignment="1">
      <alignment horizontal="right" vertical="center"/>
    </xf>
    <xf numFmtId="41" fontId="26" fillId="0" borderId="11" xfId="28" applyNumberFormat="1" applyFont="1" applyFill="1" applyBorder="1" applyAlignment="1">
      <alignment horizontal="right" vertical="center"/>
    </xf>
    <xf numFmtId="49" fontId="28" fillId="0" borderId="11" xfId="28" applyNumberFormat="1" applyFont="1" applyFill="1" applyBorder="1" applyAlignment="1">
      <alignment horizontal="right" vertical="center"/>
    </xf>
    <xf numFmtId="49" fontId="28" fillId="24" borderId="11" xfId="28" applyNumberFormat="1" applyFont="1" applyFill="1" applyBorder="1" applyAlignment="1">
      <alignment horizontal="right" vertical="center"/>
    </xf>
    <xf numFmtId="5" fontId="4" fillId="0" borderId="0" xfId="0" applyNumberFormat="1" applyFont="1" applyFill="1" applyAlignment="1">
      <alignment horizontal="right" vertical="center"/>
    </xf>
    <xf numFmtId="5" fontId="26" fillId="0" borderId="0" xfId="0" applyNumberFormat="1" applyFont="1" applyFill="1" applyAlignment="1">
      <alignment horizontal="righ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7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/>
    <cellStyle name="Normal 3" xfId="45"/>
    <cellStyle name="Normal 4" xfId="46"/>
    <cellStyle name="Normal_2010-2011 Budget 09-2010 Revision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Relationship Id="rId2" Type="http://schemas.openxmlformats.org/officeDocument/2006/relationships/comments" Target="../comments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193"/>
  <sheetViews>
    <sheetView workbookViewId="0">
      <selection activeCell="F48" sqref="F48"/>
    </sheetView>
  </sheetViews>
  <sheetFormatPr baseColWidth="10" defaultColWidth="8.7109375" defaultRowHeight="12" x14ac:dyDescent="0"/>
  <cols>
    <col min="1" max="1" width="1.85546875" style="3" customWidth="1"/>
    <col min="2" max="2" width="2.85546875" style="3" customWidth="1"/>
    <col min="3" max="3" width="3" style="3" customWidth="1"/>
    <col min="4" max="4" width="8.7109375" style="3"/>
    <col min="5" max="5" width="1.42578125" style="3" customWidth="1"/>
    <col min="6" max="6" width="8.7109375" style="3"/>
    <col min="7" max="7" width="1.42578125" style="3" customWidth="1"/>
    <col min="8" max="8" width="8.7109375" style="3"/>
    <col min="9" max="9" width="1.42578125" style="3" customWidth="1"/>
    <col min="10" max="10" width="11.140625" style="3" customWidth="1"/>
    <col min="11" max="11" width="1.42578125" style="3" customWidth="1"/>
    <col min="12" max="16384" width="8.7109375" style="3"/>
  </cols>
  <sheetData>
    <row r="1" spans="1:14">
      <c r="A1" s="3" t="s">
        <v>149</v>
      </c>
    </row>
    <row r="2" spans="1:14">
      <c r="C2" s="3" t="s">
        <v>109</v>
      </c>
    </row>
    <row r="3" spans="1:14">
      <c r="B3" s="3" t="str">
        <f>'OP-SCH'!B3</f>
        <v>Level</v>
      </c>
      <c r="D3" s="3" t="s">
        <v>118</v>
      </c>
      <c r="F3" s="3" t="s">
        <v>115</v>
      </c>
      <c r="H3" s="3" t="s">
        <v>116</v>
      </c>
      <c r="J3" s="3" t="s">
        <v>112</v>
      </c>
      <c r="L3" s="3" t="s">
        <v>113</v>
      </c>
    </row>
    <row r="4" spans="1:14">
      <c r="C4" s="3">
        <v>1</v>
      </c>
      <c r="D4" s="17">
        <f>46000*0.99-600</f>
        <v>44940</v>
      </c>
      <c r="E4" s="17"/>
      <c r="F4" s="17">
        <f>+D4+1500</f>
        <v>46440</v>
      </c>
      <c r="G4" s="17"/>
      <c r="H4" s="17">
        <f>F4+1500</f>
        <v>47940</v>
      </c>
      <c r="I4" s="17"/>
      <c r="J4" s="17">
        <f>H4+500</f>
        <v>48440</v>
      </c>
      <c r="K4" s="17"/>
      <c r="L4" s="17">
        <f>J4+750</f>
        <v>49190</v>
      </c>
      <c r="M4" s="17"/>
      <c r="N4" s="17"/>
    </row>
    <row r="5" spans="1:14">
      <c r="C5" s="3">
        <v>2</v>
      </c>
      <c r="D5" s="17">
        <f t="shared" ref="D5:D18" si="0">D4*1.03</f>
        <v>46288.200000000004</v>
      </c>
      <c r="E5" s="17"/>
      <c r="F5" s="17">
        <f t="shared" ref="F5:F13" si="1">+D5*1.03</f>
        <v>47676.846000000005</v>
      </c>
      <c r="G5" s="17"/>
      <c r="H5" s="17">
        <f t="shared" ref="H5:H13" si="2">F5*1.03</f>
        <v>49107.151380000003</v>
      </c>
      <c r="I5" s="17"/>
      <c r="J5" s="17">
        <f t="shared" ref="J5:J13" si="3">H5*1.03</f>
        <v>50580.365921400007</v>
      </c>
      <c r="K5" s="17"/>
      <c r="L5" s="17">
        <f t="shared" ref="L5:L13" si="4">J5*1.03</f>
        <v>52097.776899042008</v>
      </c>
      <c r="M5" s="17"/>
      <c r="N5" s="17"/>
    </row>
    <row r="6" spans="1:14">
      <c r="C6" s="3">
        <v>3</v>
      </c>
      <c r="D6" s="17">
        <f t="shared" si="0"/>
        <v>47676.846000000005</v>
      </c>
      <c r="E6" s="17"/>
      <c r="F6" s="17">
        <f t="shared" si="1"/>
        <v>49107.151380000003</v>
      </c>
      <c r="G6" s="17"/>
      <c r="H6" s="17">
        <f t="shared" si="2"/>
        <v>50580.365921400007</v>
      </c>
      <c r="I6" s="17"/>
      <c r="J6" s="17">
        <f t="shared" si="3"/>
        <v>52097.776899042008</v>
      </c>
      <c r="K6" s="17"/>
      <c r="L6" s="17">
        <f t="shared" si="4"/>
        <v>53660.710206013267</v>
      </c>
      <c r="M6" s="17"/>
      <c r="N6" s="17"/>
    </row>
    <row r="7" spans="1:14">
      <c r="C7" s="3">
        <v>4</v>
      </c>
      <c r="D7" s="17">
        <f t="shared" si="0"/>
        <v>49107.151380000003</v>
      </c>
      <c r="E7" s="17"/>
      <c r="F7" s="17">
        <f t="shared" si="1"/>
        <v>50580.365921400007</v>
      </c>
      <c r="G7" s="17"/>
      <c r="H7" s="17">
        <f t="shared" si="2"/>
        <v>52097.776899042008</v>
      </c>
      <c r="I7" s="17"/>
      <c r="J7" s="17">
        <f t="shared" si="3"/>
        <v>53660.710206013267</v>
      </c>
      <c r="K7" s="17"/>
      <c r="L7" s="17">
        <f t="shared" si="4"/>
        <v>55270.531512193666</v>
      </c>
      <c r="M7" s="17"/>
      <c r="N7" s="17"/>
    </row>
    <row r="8" spans="1:14">
      <c r="C8" s="3">
        <v>5</v>
      </c>
      <c r="D8" s="17">
        <f t="shared" si="0"/>
        <v>50580.365921400007</v>
      </c>
      <c r="E8" s="17"/>
      <c r="F8" s="17">
        <f t="shared" si="1"/>
        <v>52097.776899042008</v>
      </c>
      <c r="G8" s="17"/>
      <c r="H8" s="17">
        <f t="shared" si="2"/>
        <v>53660.710206013267</v>
      </c>
      <c r="I8" s="17"/>
      <c r="J8" s="17">
        <f t="shared" si="3"/>
        <v>55270.531512193666</v>
      </c>
      <c r="K8" s="17"/>
      <c r="L8" s="17">
        <f t="shared" si="4"/>
        <v>56928.647457559477</v>
      </c>
      <c r="M8" s="17"/>
      <c r="N8" s="17"/>
    </row>
    <row r="9" spans="1:14">
      <c r="C9" s="3">
        <v>6</v>
      </c>
      <c r="D9" s="17">
        <f t="shared" si="0"/>
        <v>52097.776899042008</v>
      </c>
      <c r="E9" s="17"/>
      <c r="F9" s="17">
        <f t="shared" si="1"/>
        <v>53660.710206013267</v>
      </c>
      <c r="G9" s="17"/>
      <c r="H9" s="17">
        <f t="shared" si="2"/>
        <v>55270.531512193666</v>
      </c>
      <c r="I9" s="17"/>
      <c r="J9" s="17">
        <f t="shared" si="3"/>
        <v>56928.647457559477</v>
      </c>
      <c r="K9" s="17"/>
      <c r="L9" s="17">
        <f t="shared" si="4"/>
        <v>58636.506881286259</v>
      </c>
      <c r="M9" s="17"/>
      <c r="N9" s="17"/>
    </row>
    <row r="10" spans="1:14">
      <c r="C10" s="3">
        <v>7</v>
      </c>
      <c r="D10" s="17">
        <f t="shared" si="0"/>
        <v>53660.710206013267</v>
      </c>
      <c r="E10" s="17"/>
      <c r="F10" s="17">
        <f t="shared" si="1"/>
        <v>55270.531512193666</v>
      </c>
      <c r="G10" s="17"/>
      <c r="H10" s="17">
        <f t="shared" si="2"/>
        <v>56928.647457559477</v>
      </c>
      <c r="I10" s="17"/>
      <c r="J10" s="17">
        <f t="shared" si="3"/>
        <v>58636.506881286259</v>
      </c>
      <c r="K10" s="17"/>
      <c r="L10" s="17">
        <f t="shared" si="4"/>
        <v>60395.602087724852</v>
      </c>
      <c r="M10" s="17"/>
      <c r="N10" s="17"/>
    </row>
    <row r="11" spans="1:14">
      <c r="C11" s="3">
        <v>8</v>
      </c>
      <c r="D11" s="17">
        <f t="shared" si="0"/>
        <v>55270.531512193666</v>
      </c>
      <c r="E11" s="17"/>
      <c r="F11" s="17">
        <f t="shared" si="1"/>
        <v>56928.647457559477</v>
      </c>
      <c r="G11" s="17"/>
      <c r="H11" s="17">
        <f t="shared" si="2"/>
        <v>58636.506881286259</v>
      </c>
      <c r="I11" s="17"/>
      <c r="J11" s="17">
        <f t="shared" si="3"/>
        <v>60395.602087724852</v>
      </c>
      <c r="K11" s="17"/>
      <c r="L11" s="17">
        <f t="shared" si="4"/>
        <v>62207.470150356596</v>
      </c>
      <c r="M11" s="17"/>
      <c r="N11" s="17"/>
    </row>
    <row r="12" spans="1:14">
      <c r="C12" s="3">
        <v>9</v>
      </c>
      <c r="D12" s="17">
        <f t="shared" si="0"/>
        <v>56928.647457559477</v>
      </c>
      <c r="E12" s="17"/>
      <c r="F12" s="17">
        <f t="shared" si="1"/>
        <v>58636.506881286259</v>
      </c>
      <c r="G12" s="17"/>
      <c r="H12" s="17">
        <f t="shared" si="2"/>
        <v>60395.602087724852</v>
      </c>
      <c r="I12" s="17"/>
      <c r="J12" s="17">
        <f t="shared" si="3"/>
        <v>62207.470150356596</v>
      </c>
      <c r="K12" s="17"/>
      <c r="L12" s="17">
        <f t="shared" si="4"/>
        <v>64073.694254867296</v>
      </c>
      <c r="M12" s="17"/>
      <c r="N12" s="17"/>
    </row>
    <row r="13" spans="1:14">
      <c r="C13" s="3">
        <v>10</v>
      </c>
      <c r="D13" s="17">
        <f t="shared" si="0"/>
        <v>58636.506881286259</v>
      </c>
      <c r="E13" s="17"/>
      <c r="F13" s="17">
        <f t="shared" si="1"/>
        <v>60395.602087724852</v>
      </c>
      <c r="G13" s="17"/>
      <c r="H13" s="17">
        <f t="shared" si="2"/>
        <v>62207.470150356596</v>
      </c>
      <c r="I13" s="17"/>
      <c r="J13" s="17">
        <f t="shared" si="3"/>
        <v>64073.694254867296</v>
      </c>
      <c r="K13" s="17"/>
      <c r="L13" s="17">
        <f t="shared" si="4"/>
        <v>65995.905082513316</v>
      </c>
      <c r="M13" s="17"/>
      <c r="N13" s="17"/>
    </row>
    <row r="14" spans="1:14">
      <c r="C14" s="3">
        <v>11</v>
      </c>
      <c r="D14" s="17">
        <f t="shared" si="0"/>
        <v>60395.602087724852</v>
      </c>
      <c r="E14" s="17"/>
      <c r="F14" s="17">
        <f t="shared" ref="F14:F18" si="5">+D14*1.03</f>
        <v>62207.470150356596</v>
      </c>
      <c r="G14" s="17"/>
      <c r="H14" s="17">
        <f t="shared" ref="H14:H18" si="6">F14*1.03</f>
        <v>64073.694254867296</v>
      </c>
      <c r="I14" s="17"/>
      <c r="J14" s="17">
        <f t="shared" ref="J14:J18" si="7">H14*1.03</f>
        <v>65995.905082513316</v>
      </c>
      <c r="K14" s="17"/>
      <c r="L14" s="17">
        <f t="shared" ref="L14:L18" si="8">J14*1.03</f>
        <v>67975.782234988714</v>
      </c>
      <c r="M14" s="17"/>
      <c r="N14" s="17"/>
    </row>
    <row r="15" spans="1:14">
      <c r="C15" s="3">
        <v>12</v>
      </c>
      <c r="D15" s="17">
        <f t="shared" si="0"/>
        <v>62207.470150356596</v>
      </c>
      <c r="E15" s="17"/>
      <c r="F15" s="17">
        <f t="shared" si="5"/>
        <v>64073.694254867296</v>
      </c>
      <c r="G15" s="17"/>
      <c r="H15" s="17">
        <f t="shared" si="6"/>
        <v>65995.905082513316</v>
      </c>
      <c r="I15" s="17"/>
      <c r="J15" s="17">
        <f t="shared" si="7"/>
        <v>67975.782234988714</v>
      </c>
      <c r="K15" s="17"/>
      <c r="L15" s="17">
        <f t="shared" si="8"/>
        <v>70015.055702038371</v>
      </c>
      <c r="M15" s="17"/>
      <c r="N15" s="17"/>
    </row>
    <row r="16" spans="1:14">
      <c r="C16" s="3">
        <v>13</v>
      </c>
      <c r="D16" s="17">
        <f t="shared" si="0"/>
        <v>64073.694254867296</v>
      </c>
      <c r="E16" s="17"/>
      <c r="F16" s="17">
        <f t="shared" si="5"/>
        <v>65995.905082513316</v>
      </c>
      <c r="G16" s="17"/>
      <c r="H16" s="17">
        <f t="shared" si="6"/>
        <v>67975.782234988714</v>
      </c>
      <c r="I16" s="17"/>
      <c r="J16" s="17">
        <f t="shared" si="7"/>
        <v>70015.055702038371</v>
      </c>
      <c r="K16" s="17"/>
      <c r="L16" s="17">
        <f t="shared" si="8"/>
        <v>72115.507373099521</v>
      </c>
      <c r="M16" s="17"/>
      <c r="N16" s="17"/>
    </row>
    <row r="17" spans="1:14">
      <c r="C17" s="3">
        <v>14</v>
      </c>
      <c r="D17" s="17">
        <f t="shared" si="0"/>
        <v>65995.905082513316</v>
      </c>
      <c r="E17" s="17"/>
      <c r="F17" s="17">
        <f t="shared" si="5"/>
        <v>67975.782234988714</v>
      </c>
      <c r="G17" s="17"/>
      <c r="H17" s="17">
        <f t="shared" si="6"/>
        <v>70015.055702038371</v>
      </c>
      <c r="I17" s="17"/>
      <c r="J17" s="17">
        <f t="shared" si="7"/>
        <v>72115.507373099521</v>
      </c>
      <c r="K17" s="17"/>
      <c r="L17" s="17">
        <f t="shared" si="8"/>
        <v>74278.972594292514</v>
      </c>
      <c r="M17" s="17"/>
      <c r="N17" s="17"/>
    </row>
    <row r="18" spans="1:14">
      <c r="C18" s="3">
        <v>15</v>
      </c>
      <c r="D18" s="17">
        <f t="shared" si="0"/>
        <v>67975.782234988714</v>
      </c>
      <c r="E18" s="17"/>
      <c r="F18" s="17">
        <f t="shared" si="5"/>
        <v>70015.055702038371</v>
      </c>
      <c r="G18" s="17"/>
      <c r="H18" s="17">
        <f t="shared" si="6"/>
        <v>72115.507373099521</v>
      </c>
      <c r="I18" s="17"/>
      <c r="J18" s="17">
        <f t="shared" si="7"/>
        <v>74278.972594292514</v>
      </c>
      <c r="K18" s="17"/>
      <c r="L18" s="17">
        <f t="shared" si="8"/>
        <v>76507.34177212129</v>
      </c>
      <c r="M18" s="17"/>
      <c r="N18" s="17"/>
    </row>
    <row r="19" spans="1:14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>
      <c r="A21" s="3" t="s">
        <v>150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>
      <c r="C22" s="3" t="s">
        <v>109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>
      <c r="B23" s="3" t="str">
        <f>B3</f>
        <v>Level</v>
      </c>
      <c r="D23" s="17" t="s">
        <v>118</v>
      </c>
      <c r="E23" s="17"/>
      <c r="F23" s="17" t="s">
        <v>115</v>
      </c>
      <c r="G23" s="17"/>
      <c r="H23" s="19" t="s">
        <v>399</v>
      </c>
      <c r="I23" s="17"/>
      <c r="J23" s="17"/>
      <c r="K23" s="17"/>
      <c r="L23" s="17"/>
      <c r="M23" s="17"/>
      <c r="N23" s="17"/>
    </row>
    <row r="24" spans="1:14">
      <c r="C24" s="3">
        <v>1</v>
      </c>
      <c r="D24" s="17">
        <v>24766</v>
      </c>
      <c r="E24" s="17"/>
      <c r="F24" s="17">
        <f>+D24+1500</f>
        <v>26266</v>
      </c>
      <c r="G24" s="17"/>
      <c r="H24" s="17">
        <v>31625</v>
      </c>
      <c r="I24" s="17"/>
      <c r="J24" s="17"/>
      <c r="K24" s="17"/>
      <c r="L24" s="17"/>
      <c r="M24" s="17"/>
      <c r="N24" s="17"/>
    </row>
    <row r="25" spans="1:14">
      <c r="C25" s="3">
        <v>2</v>
      </c>
      <c r="D25" s="17">
        <f t="shared" ref="D25:D33" si="9">D24*1.03</f>
        <v>25508.98</v>
      </c>
      <c r="E25" s="17"/>
      <c r="F25" s="17">
        <f t="shared" ref="F25:F33" si="10">+D25*1.03</f>
        <v>26274.249400000001</v>
      </c>
      <c r="G25" s="17"/>
      <c r="H25" s="17">
        <f>H24*1.03</f>
        <v>32573.75</v>
      </c>
      <c r="I25" s="17"/>
      <c r="J25" s="17"/>
      <c r="K25" s="17"/>
      <c r="L25" s="17"/>
      <c r="M25" s="17"/>
      <c r="N25" s="17"/>
    </row>
    <row r="26" spans="1:14">
      <c r="C26" s="3">
        <v>3</v>
      </c>
      <c r="D26" s="17">
        <f t="shared" si="9"/>
        <v>26274.249400000001</v>
      </c>
      <c r="E26" s="17"/>
      <c r="F26" s="17">
        <f t="shared" si="10"/>
        <v>27062.476882000003</v>
      </c>
      <c r="G26" s="17"/>
      <c r="H26" s="17">
        <f t="shared" ref="H26:H33" si="11">H25*1.03</f>
        <v>33550.962500000001</v>
      </c>
      <c r="I26" s="17"/>
      <c r="J26" s="17"/>
      <c r="K26" s="17"/>
      <c r="L26" s="17"/>
      <c r="M26" s="17"/>
      <c r="N26" s="17"/>
    </row>
    <row r="27" spans="1:14">
      <c r="C27" s="3">
        <v>4</v>
      </c>
      <c r="D27" s="17">
        <f t="shared" si="9"/>
        <v>27062.476882000003</v>
      </c>
      <c r="E27" s="17"/>
      <c r="F27" s="17">
        <f t="shared" si="10"/>
        <v>27874.351188460005</v>
      </c>
      <c r="G27" s="17"/>
      <c r="H27" s="17">
        <f t="shared" si="11"/>
        <v>34557.491375000005</v>
      </c>
      <c r="I27" s="17"/>
      <c r="J27" s="17"/>
      <c r="K27" s="17"/>
      <c r="L27" s="17"/>
      <c r="M27" s="17"/>
      <c r="N27" s="17"/>
    </row>
    <row r="28" spans="1:14">
      <c r="C28" s="3">
        <v>5</v>
      </c>
      <c r="D28" s="17">
        <f t="shared" si="9"/>
        <v>27874.351188460005</v>
      </c>
      <c r="E28" s="17"/>
      <c r="F28" s="17">
        <f t="shared" si="10"/>
        <v>28710.581724113807</v>
      </c>
      <c r="G28" s="17"/>
      <c r="H28" s="17">
        <f t="shared" si="11"/>
        <v>35594.216116250005</v>
      </c>
      <c r="I28" s="17"/>
      <c r="J28" s="17"/>
      <c r="K28" s="17"/>
      <c r="L28" s="17"/>
      <c r="M28" s="17"/>
      <c r="N28" s="17"/>
    </row>
    <row r="29" spans="1:14">
      <c r="C29" s="3">
        <v>6</v>
      </c>
      <c r="D29" s="17">
        <f t="shared" si="9"/>
        <v>28710.581724113807</v>
      </c>
      <c r="E29" s="17"/>
      <c r="F29" s="17">
        <f t="shared" si="10"/>
        <v>29571.899175837221</v>
      </c>
      <c r="G29" s="17"/>
      <c r="H29" s="17">
        <f t="shared" si="11"/>
        <v>36662.042599737506</v>
      </c>
      <c r="I29" s="17"/>
      <c r="J29" s="17"/>
      <c r="K29" s="17"/>
      <c r="L29" s="17"/>
      <c r="M29" s="17"/>
      <c r="N29" s="17"/>
    </row>
    <row r="30" spans="1:14">
      <c r="C30" s="3">
        <v>7</v>
      </c>
      <c r="D30" s="17">
        <f t="shared" si="9"/>
        <v>29571.899175837221</v>
      </c>
      <c r="E30" s="17"/>
      <c r="F30" s="17">
        <f t="shared" si="10"/>
        <v>30459.056151112338</v>
      </c>
      <c r="G30" s="17"/>
      <c r="H30" s="17">
        <f t="shared" si="11"/>
        <v>37761.90387772963</v>
      </c>
      <c r="I30" s="17"/>
      <c r="J30" s="17"/>
      <c r="K30" s="17"/>
      <c r="L30" s="17"/>
      <c r="M30" s="17"/>
      <c r="N30" s="17"/>
    </row>
    <row r="31" spans="1:14">
      <c r="C31" s="3">
        <v>8</v>
      </c>
      <c r="D31" s="17">
        <f t="shared" si="9"/>
        <v>30459.056151112338</v>
      </c>
      <c r="E31" s="17"/>
      <c r="F31" s="17">
        <f t="shared" si="10"/>
        <v>31372.827835645709</v>
      </c>
      <c r="G31" s="17"/>
      <c r="H31" s="17">
        <f t="shared" si="11"/>
        <v>38894.760994061522</v>
      </c>
      <c r="I31" s="17"/>
      <c r="J31" s="17"/>
      <c r="K31" s="17"/>
      <c r="L31" s="17"/>
      <c r="M31" s="17"/>
      <c r="N31" s="17"/>
    </row>
    <row r="32" spans="1:14">
      <c r="C32" s="3">
        <v>9</v>
      </c>
      <c r="D32" s="17">
        <f t="shared" si="9"/>
        <v>31372.827835645709</v>
      </c>
      <c r="E32" s="17"/>
      <c r="F32" s="17">
        <f t="shared" si="10"/>
        <v>32314.012670715081</v>
      </c>
      <c r="G32" s="17"/>
      <c r="H32" s="17">
        <f t="shared" si="11"/>
        <v>40061.603823883372</v>
      </c>
      <c r="I32" s="17"/>
      <c r="J32" s="17"/>
      <c r="K32" s="17"/>
      <c r="L32" s="17"/>
      <c r="M32" s="17"/>
      <c r="N32" s="17"/>
    </row>
    <row r="33" spans="1:14">
      <c r="C33" s="3">
        <v>10</v>
      </c>
      <c r="D33" s="17">
        <f t="shared" si="9"/>
        <v>32314.012670715081</v>
      </c>
      <c r="E33" s="17"/>
      <c r="F33" s="17">
        <f t="shared" si="10"/>
        <v>33283.433050836531</v>
      </c>
      <c r="G33" s="17"/>
      <c r="H33" s="17">
        <f t="shared" si="11"/>
        <v>41263.451938599872</v>
      </c>
      <c r="I33" s="17"/>
      <c r="J33" s="17"/>
      <c r="K33" s="17"/>
      <c r="L33" s="17"/>
      <c r="M33" s="17"/>
      <c r="N33" s="17"/>
    </row>
    <row r="34" spans="1:14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>
      <c r="A36" s="3" t="s">
        <v>151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>
      <c r="C37" s="3" t="s">
        <v>109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>
      <c r="B38" s="3" t="str">
        <f>B23</f>
        <v>Level</v>
      </c>
      <c r="D38" s="17" t="s">
        <v>118</v>
      </c>
      <c r="E38" s="17"/>
      <c r="F38" s="17" t="s">
        <v>115</v>
      </c>
      <c r="G38" s="17"/>
      <c r="H38" s="17"/>
      <c r="I38" s="17"/>
      <c r="J38" s="17"/>
      <c r="K38" s="17"/>
      <c r="L38" s="17"/>
      <c r="M38" s="17"/>
      <c r="N38" s="17"/>
    </row>
    <row r="39" spans="1:14">
      <c r="C39" s="3">
        <v>1</v>
      </c>
      <c r="D39" s="17">
        <f>16400*0.99</f>
        <v>16236</v>
      </c>
      <c r="E39" s="17"/>
      <c r="F39" s="17">
        <f>+D39+1500</f>
        <v>17736</v>
      </c>
      <c r="G39" s="17"/>
      <c r="H39" s="17"/>
      <c r="I39" s="17"/>
      <c r="J39" s="17"/>
      <c r="K39" s="17"/>
      <c r="L39" s="17"/>
      <c r="M39" s="17"/>
      <c r="N39" s="17"/>
    </row>
    <row r="40" spans="1:14">
      <c r="C40" s="3">
        <v>2</v>
      </c>
      <c r="D40" s="17">
        <f t="shared" ref="D40:D48" si="12">D39*1.03</f>
        <v>16723.080000000002</v>
      </c>
      <c r="E40" s="17"/>
      <c r="F40" s="17">
        <f t="shared" ref="F40:F48" si="13">+D40*1.03</f>
        <v>17224.772400000002</v>
      </c>
      <c r="G40" s="17"/>
      <c r="H40" s="17"/>
      <c r="I40" s="17"/>
      <c r="J40" s="17"/>
      <c r="K40" s="17"/>
      <c r="L40" s="17"/>
      <c r="M40" s="17"/>
      <c r="N40" s="17"/>
    </row>
    <row r="41" spans="1:14">
      <c r="C41" s="3">
        <v>3</v>
      </c>
      <c r="D41" s="17">
        <f t="shared" si="12"/>
        <v>17224.772400000002</v>
      </c>
      <c r="E41" s="17"/>
      <c r="F41" s="17">
        <f t="shared" si="13"/>
        <v>17741.515572000004</v>
      </c>
      <c r="G41" s="17"/>
      <c r="H41" s="17"/>
      <c r="I41" s="17"/>
      <c r="J41" s="17"/>
      <c r="K41" s="17"/>
      <c r="L41" s="17"/>
      <c r="M41" s="17"/>
      <c r="N41" s="17"/>
    </row>
    <row r="42" spans="1:14">
      <c r="C42" s="3">
        <v>4</v>
      </c>
      <c r="D42" s="17">
        <f t="shared" si="12"/>
        <v>17741.515572000004</v>
      </c>
      <c r="E42" s="17"/>
      <c r="F42" s="17">
        <f t="shared" si="13"/>
        <v>18273.761039160003</v>
      </c>
      <c r="G42" s="17"/>
      <c r="H42" s="17"/>
      <c r="I42" s="17"/>
      <c r="J42" s="17"/>
      <c r="K42" s="17"/>
      <c r="L42" s="17"/>
      <c r="M42" s="17"/>
      <c r="N42" s="17"/>
    </row>
    <row r="43" spans="1:14">
      <c r="C43" s="3">
        <v>5</v>
      </c>
      <c r="D43" s="17">
        <f t="shared" si="12"/>
        <v>18273.761039160003</v>
      </c>
      <c r="E43" s="17"/>
      <c r="F43" s="17">
        <f t="shared" si="13"/>
        <v>18821.973870334805</v>
      </c>
      <c r="G43" s="17"/>
      <c r="H43" s="17"/>
      <c r="I43" s="17"/>
      <c r="J43" s="17"/>
      <c r="K43" s="17"/>
      <c r="L43" s="17"/>
      <c r="M43" s="17"/>
      <c r="N43" s="17"/>
    </row>
    <row r="44" spans="1:14">
      <c r="C44" s="3">
        <v>6</v>
      </c>
      <c r="D44" s="17">
        <f t="shared" si="12"/>
        <v>18821.973870334805</v>
      </c>
      <c r="E44" s="17"/>
      <c r="F44" s="17">
        <f t="shared" si="13"/>
        <v>19386.63308644485</v>
      </c>
      <c r="G44" s="17"/>
      <c r="H44" s="17"/>
      <c r="I44" s="17"/>
      <c r="J44" s="17"/>
      <c r="K44" s="17"/>
      <c r="L44" s="17"/>
      <c r="M44" s="17"/>
      <c r="N44" s="17"/>
    </row>
    <row r="45" spans="1:14">
      <c r="C45" s="3">
        <v>7</v>
      </c>
      <c r="D45" s="17">
        <f t="shared" si="12"/>
        <v>19386.63308644485</v>
      </c>
      <c r="E45" s="17"/>
      <c r="F45" s="17">
        <f t="shared" si="13"/>
        <v>19968.232079038196</v>
      </c>
      <c r="G45" s="17"/>
      <c r="H45" s="17"/>
      <c r="I45" s="17"/>
      <c r="J45" s="17"/>
      <c r="K45" s="17"/>
      <c r="L45" s="17"/>
      <c r="M45" s="17"/>
      <c r="N45" s="17"/>
    </row>
    <row r="46" spans="1:14">
      <c r="C46" s="3">
        <v>8</v>
      </c>
      <c r="D46" s="17">
        <f t="shared" si="12"/>
        <v>19968.232079038196</v>
      </c>
      <c r="E46" s="17"/>
      <c r="F46" s="17">
        <f t="shared" si="13"/>
        <v>20567.279041409343</v>
      </c>
      <c r="G46" s="17"/>
      <c r="H46" s="17"/>
      <c r="I46" s="17"/>
      <c r="J46" s="17"/>
      <c r="K46" s="17"/>
      <c r="L46" s="17"/>
      <c r="M46" s="17"/>
      <c r="N46" s="17"/>
    </row>
    <row r="47" spans="1:14">
      <c r="C47" s="3">
        <v>9</v>
      </c>
      <c r="D47" s="17">
        <f t="shared" si="12"/>
        <v>20567.279041409343</v>
      </c>
      <c r="E47" s="17"/>
      <c r="F47" s="17">
        <f t="shared" si="13"/>
        <v>21184.297412651624</v>
      </c>
      <c r="G47" s="17"/>
      <c r="H47" s="17"/>
      <c r="I47" s="17"/>
      <c r="J47" s="17"/>
      <c r="K47" s="17"/>
      <c r="L47" s="17"/>
      <c r="M47" s="17"/>
      <c r="N47" s="17"/>
    </row>
    <row r="48" spans="1:14">
      <c r="C48" s="3">
        <v>10</v>
      </c>
      <c r="D48" s="17">
        <f t="shared" si="12"/>
        <v>21184.297412651624</v>
      </c>
      <c r="E48" s="17"/>
      <c r="F48" s="17">
        <f t="shared" si="13"/>
        <v>21819.826335031172</v>
      </c>
      <c r="G48" s="17"/>
      <c r="H48" s="17"/>
      <c r="I48" s="17"/>
      <c r="J48" s="17"/>
      <c r="K48" s="17"/>
      <c r="L48" s="17"/>
      <c r="M48" s="17"/>
      <c r="N48" s="17"/>
    </row>
    <row r="49" spans="1:14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>
      <c r="A50" s="3" t="s">
        <v>152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>
      <c r="C51" s="3" t="s">
        <v>109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>
      <c r="B52" s="3" t="str">
        <f>B38</f>
        <v>Level</v>
      </c>
      <c r="D52" s="17" t="s">
        <v>118</v>
      </c>
      <c r="E52" s="17"/>
      <c r="F52" s="17" t="s">
        <v>115</v>
      </c>
      <c r="G52" s="17"/>
      <c r="H52" s="17" t="s">
        <v>153</v>
      </c>
      <c r="I52" s="17"/>
      <c r="J52" s="17"/>
      <c r="K52" s="17"/>
      <c r="L52" s="17"/>
      <c r="M52" s="17"/>
      <c r="N52" s="17"/>
    </row>
    <row r="53" spans="1:14">
      <c r="C53" s="3">
        <v>1</v>
      </c>
      <c r="D53" s="17">
        <f>16840*0.99</f>
        <v>16671.599999999999</v>
      </c>
      <c r="E53" s="17"/>
      <c r="F53" s="17">
        <f>+D53+1500</f>
        <v>18171.599999999999</v>
      </c>
      <c r="G53" s="17"/>
      <c r="H53" s="17">
        <f>19481+2197</f>
        <v>21678</v>
      </c>
      <c r="I53" s="17"/>
      <c r="J53" s="17"/>
      <c r="K53" s="17"/>
      <c r="L53" s="17"/>
      <c r="M53" s="17"/>
      <c r="N53" s="17"/>
    </row>
    <row r="54" spans="1:14">
      <c r="C54" s="3">
        <v>2</v>
      </c>
      <c r="D54" s="17">
        <f t="shared" ref="D54:D62" si="14">D53*1.03</f>
        <v>17171.748</v>
      </c>
      <c r="E54" s="17"/>
      <c r="F54" s="17">
        <f t="shared" ref="F54:F62" si="15">+D54*1.03</f>
        <v>17686.900440000001</v>
      </c>
      <c r="G54" s="17"/>
      <c r="H54" s="17">
        <f t="shared" ref="H54:H62" si="16">H53*1.03</f>
        <v>22328.34</v>
      </c>
      <c r="I54" s="17"/>
      <c r="J54" s="17"/>
      <c r="K54" s="17"/>
      <c r="L54" s="17"/>
      <c r="M54" s="17"/>
      <c r="N54" s="17"/>
    </row>
    <row r="55" spans="1:14">
      <c r="C55" s="3">
        <v>3</v>
      </c>
      <c r="D55" s="17">
        <f t="shared" si="14"/>
        <v>17686.900440000001</v>
      </c>
      <c r="E55" s="17"/>
      <c r="F55" s="17">
        <f t="shared" si="15"/>
        <v>18217.507453200004</v>
      </c>
      <c r="G55" s="17"/>
      <c r="H55" s="17">
        <f t="shared" si="16"/>
        <v>22998.190200000001</v>
      </c>
      <c r="I55" s="17"/>
      <c r="J55" s="17"/>
      <c r="K55" s="17"/>
      <c r="L55" s="17"/>
      <c r="M55" s="17"/>
      <c r="N55" s="17"/>
    </row>
    <row r="56" spans="1:14">
      <c r="C56" s="3">
        <v>4</v>
      </c>
      <c r="D56" s="17">
        <f t="shared" si="14"/>
        <v>18217.507453200004</v>
      </c>
      <c r="E56" s="17"/>
      <c r="F56" s="17">
        <f t="shared" si="15"/>
        <v>18764.032676796003</v>
      </c>
      <c r="G56" s="17"/>
      <c r="H56" s="17">
        <f t="shared" si="16"/>
        <v>23688.135906000003</v>
      </c>
      <c r="I56" s="17"/>
      <c r="J56" s="17"/>
      <c r="K56" s="17"/>
      <c r="L56" s="17"/>
      <c r="M56" s="17"/>
      <c r="N56" s="17"/>
    </row>
    <row r="57" spans="1:14">
      <c r="C57" s="3">
        <v>5</v>
      </c>
      <c r="D57" s="17">
        <f t="shared" si="14"/>
        <v>18764.032676796003</v>
      </c>
      <c r="E57" s="17"/>
      <c r="F57" s="17">
        <f t="shared" si="15"/>
        <v>19326.953657099883</v>
      </c>
      <c r="G57" s="17"/>
      <c r="H57" s="17">
        <f t="shared" si="16"/>
        <v>24398.779983180004</v>
      </c>
      <c r="I57" s="17"/>
      <c r="J57" s="17"/>
      <c r="K57" s="17"/>
      <c r="L57" s="17"/>
      <c r="M57" s="17"/>
      <c r="N57" s="17"/>
    </row>
    <row r="58" spans="1:14">
      <c r="C58" s="3">
        <v>6</v>
      </c>
      <c r="D58" s="17">
        <f t="shared" si="14"/>
        <v>19326.953657099883</v>
      </c>
      <c r="E58" s="17"/>
      <c r="F58" s="17">
        <f t="shared" si="15"/>
        <v>19906.762266812879</v>
      </c>
      <c r="G58" s="17"/>
      <c r="H58" s="17">
        <f t="shared" si="16"/>
        <v>25130.743382675406</v>
      </c>
      <c r="I58" s="17"/>
      <c r="J58" s="17"/>
      <c r="K58" s="17"/>
      <c r="L58" s="17"/>
      <c r="M58" s="17"/>
      <c r="N58" s="17"/>
    </row>
    <row r="59" spans="1:14">
      <c r="C59" s="3">
        <v>7</v>
      </c>
      <c r="D59" s="17">
        <f t="shared" si="14"/>
        <v>19906.762266812879</v>
      </c>
      <c r="E59" s="17"/>
      <c r="F59" s="17">
        <f t="shared" si="15"/>
        <v>20503.965134817267</v>
      </c>
      <c r="G59" s="17"/>
      <c r="H59" s="17">
        <f t="shared" si="16"/>
        <v>25884.665684155669</v>
      </c>
      <c r="I59" s="17"/>
      <c r="J59" s="17"/>
      <c r="K59" s="17"/>
      <c r="L59" s="17"/>
      <c r="M59" s="17"/>
      <c r="N59" s="17"/>
    </row>
    <row r="60" spans="1:14">
      <c r="C60" s="3">
        <v>8</v>
      </c>
      <c r="D60" s="17">
        <f t="shared" si="14"/>
        <v>20503.965134817267</v>
      </c>
      <c r="E60" s="17"/>
      <c r="F60" s="17">
        <f t="shared" si="15"/>
        <v>21119.084088861786</v>
      </c>
      <c r="G60" s="17"/>
      <c r="H60" s="17">
        <f t="shared" si="16"/>
        <v>26661.20565468034</v>
      </c>
      <c r="I60" s="17"/>
      <c r="J60" s="17"/>
      <c r="K60" s="17"/>
      <c r="L60" s="17"/>
      <c r="M60" s="17"/>
      <c r="N60" s="17"/>
    </row>
    <row r="61" spans="1:14">
      <c r="C61" s="3">
        <v>9</v>
      </c>
      <c r="D61" s="17">
        <f t="shared" si="14"/>
        <v>21119.084088861786</v>
      </c>
      <c r="E61" s="17"/>
      <c r="F61" s="17">
        <f t="shared" si="15"/>
        <v>21752.65661152764</v>
      </c>
      <c r="G61" s="17"/>
      <c r="H61" s="17">
        <f t="shared" si="16"/>
        <v>27461.04182432075</v>
      </c>
      <c r="I61" s="17"/>
      <c r="J61" s="17"/>
      <c r="K61" s="17"/>
      <c r="L61" s="17"/>
      <c r="M61" s="17"/>
      <c r="N61" s="17"/>
    </row>
    <row r="62" spans="1:14">
      <c r="C62" s="3">
        <v>10</v>
      </c>
      <c r="D62" s="17">
        <f t="shared" si="14"/>
        <v>21752.65661152764</v>
      </c>
      <c r="E62" s="17"/>
      <c r="F62" s="17">
        <f t="shared" si="15"/>
        <v>22405.236309873471</v>
      </c>
      <c r="G62" s="17"/>
      <c r="H62" s="17">
        <f t="shared" si="16"/>
        <v>28284.873079050372</v>
      </c>
      <c r="I62" s="17"/>
      <c r="J62" s="17"/>
      <c r="K62" s="17"/>
      <c r="L62" s="17"/>
      <c r="M62" s="17"/>
      <c r="N62" s="17"/>
    </row>
    <row r="63" spans="1:14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73" s="2" customFormat="1"/>
    <row r="108" s="2" customFormat="1"/>
    <row r="190" s="2" customFormat="1"/>
    <row r="193" s="2" customFormat="1"/>
  </sheetData>
  <phoneticPr fontId="24" type="noConversion"/>
  <pageMargins left="0.75" right="0.75" top="1.36" bottom="0.48" header="0.35" footer="0.2"/>
  <pageSetup orientation="portrait"/>
  <headerFooter alignWithMargins="0">
    <oddHeader>&amp;C&amp;"Arial,Bold"&amp;18International School of LouisianaFacility Salary Schedule '13 - 2014
&amp;A&amp;RPrinted &amp;D&amp;T</oddHeader>
    <oddFooter>&amp;L&amp;6&amp;Z&amp;F&amp;RPage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2:W196"/>
  <sheetViews>
    <sheetView topLeftCell="A4" workbookViewId="0">
      <pane xSplit="2" ySplit="7" topLeftCell="C155" activePane="bottomRight" state="frozen"/>
      <selection activeCell="A4" sqref="A4"/>
      <selection pane="topRight" activeCell="C4" sqref="C4"/>
      <selection pane="bottomLeft" activeCell="A11" sqref="A11"/>
      <selection pane="bottomRight" activeCell="M194" sqref="M194"/>
    </sheetView>
  </sheetViews>
  <sheetFormatPr baseColWidth="10" defaultColWidth="11.42578125" defaultRowHeight="13" x14ac:dyDescent="0"/>
  <cols>
    <col min="1" max="1" width="15" style="31" customWidth="1"/>
    <col min="2" max="2" width="26.85546875" style="31" customWidth="1"/>
    <col min="3" max="9" width="11.42578125" style="233"/>
    <col min="10" max="10" width="11.28515625" style="233" bestFit="1" customWidth="1"/>
    <col min="11" max="18" width="11.42578125" style="233"/>
    <col min="19" max="19" width="3.42578125" style="233" customWidth="1"/>
    <col min="20" max="20" width="11.42578125" style="234"/>
    <col min="21" max="21" width="3.5703125" style="233" customWidth="1"/>
    <col min="22" max="22" width="14.28515625" style="30" bestFit="1" customWidth="1"/>
    <col min="23" max="23" width="11.140625" customWidth="1"/>
    <col min="24" max="16384" width="11.42578125" style="233"/>
  </cols>
  <sheetData>
    <row r="2" spans="1:23">
      <c r="B2" s="30" t="s">
        <v>614</v>
      </c>
    </row>
    <row r="3" spans="1:23">
      <c r="B3" s="174" t="s">
        <v>584</v>
      </c>
    </row>
    <row r="4" spans="1:23">
      <c r="A4" s="31" t="s">
        <v>433</v>
      </c>
      <c r="B4" s="32">
        <f>SUM(SUM!B4)</f>
        <v>640</v>
      </c>
    </row>
    <row r="5" spans="1:23">
      <c r="B5" s="32"/>
    </row>
    <row r="6" spans="1:23">
      <c r="A6" s="31" t="s">
        <v>434</v>
      </c>
      <c r="B6" s="32">
        <f>SUM(SUM!B6)</f>
        <v>215</v>
      </c>
    </row>
    <row r="7" spans="1:23" s="236" customFormat="1" ht="12">
      <c r="A7" s="28" t="s">
        <v>587</v>
      </c>
      <c r="B7" s="32">
        <f>SUM(SUM!B7)</f>
        <v>400</v>
      </c>
      <c r="C7" s="235">
        <v>2</v>
      </c>
      <c r="D7" s="235">
        <f>SUM('AC-SVC'!C7)</f>
        <v>1</v>
      </c>
      <c r="E7" s="248">
        <f>SUM('AC-SVC'!P7)</f>
        <v>1</v>
      </c>
      <c r="F7" s="248">
        <f>SUM(DID!C7)</f>
        <v>1</v>
      </c>
      <c r="G7" s="248">
        <f>SUM(DID!D7)</f>
        <v>1</v>
      </c>
      <c r="H7" s="248">
        <f>SUM(DID!E7)</f>
        <v>1</v>
      </c>
      <c r="I7" s="248">
        <f>SUM(DID!F7)</f>
        <v>1</v>
      </c>
      <c r="J7" s="235">
        <v>1</v>
      </c>
      <c r="K7" s="235">
        <f>SUM(FN!D7)</f>
        <v>1</v>
      </c>
      <c r="L7" s="235">
        <f>SUM(FN!E7)</f>
        <v>1</v>
      </c>
      <c r="M7" s="235">
        <f>SUM(FN!F7)</f>
        <v>1</v>
      </c>
      <c r="N7" s="235">
        <f>SUM(FN!G7)</f>
        <v>2</v>
      </c>
      <c r="O7" s="235">
        <f>SUM(FS!C7)</f>
        <v>1</v>
      </c>
      <c r="P7" s="235">
        <f>SUM(HR!C7)</f>
        <v>2</v>
      </c>
      <c r="Q7" s="235">
        <f>SUM(HR!D7)</f>
        <v>2</v>
      </c>
      <c r="R7" s="235">
        <f>SUM(IT!C7)</f>
        <v>1</v>
      </c>
      <c r="T7" s="237">
        <f>SUM(C7:R7)</f>
        <v>20</v>
      </c>
      <c r="V7" s="116"/>
      <c r="W7" s="287"/>
    </row>
    <row r="8" spans="1:23" ht="10">
      <c r="B8" s="296">
        <f>SUM(B4:B7)</f>
        <v>1255</v>
      </c>
      <c r="D8" s="233" t="str">
        <f>'AC-SVC'!C8</f>
        <v>CMO</v>
      </c>
      <c r="E8" s="233" t="str">
        <f>'AC-SVC'!P8</f>
        <v>CMO</v>
      </c>
      <c r="F8" s="248" t="s">
        <v>637</v>
      </c>
      <c r="G8" s="248" t="s">
        <v>637</v>
      </c>
      <c r="H8" s="248" t="s">
        <v>637</v>
      </c>
      <c r="I8" s="248" t="s">
        <v>637</v>
      </c>
      <c r="R8" s="233" t="str">
        <f>+IT!C8</f>
        <v>Admin</v>
      </c>
      <c r="V8" s="104" t="s">
        <v>500</v>
      </c>
      <c r="W8" s="104" t="s">
        <v>500</v>
      </c>
    </row>
    <row r="9" spans="1:23" ht="10">
      <c r="C9" s="233" t="s">
        <v>187</v>
      </c>
      <c r="D9" s="233" t="str">
        <f>'AC-SVC'!C9</f>
        <v>Appraisal</v>
      </c>
      <c r="E9" s="233" t="str">
        <f>'AC-SVC'!P9</f>
        <v>Curriculum</v>
      </c>
      <c r="F9" s="250" t="str">
        <f>DID!C9</f>
        <v>Director</v>
      </c>
      <c r="G9" s="250" t="str">
        <f>DID!D9</f>
        <v>Dev Co-ord</v>
      </c>
      <c r="H9" s="250" t="str">
        <f>DID!E9</f>
        <v>Recruit &amp; Mktg</v>
      </c>
      <c r="I9" s="250" t="str">
        <f>DID!F9</f>
        <v>Grant Writer</v>
      </c>
      <c r="J9" s="233" t="s">
        <v>188</v>
      </c>
      <c r="K9" s="233" t="str">
        <f>FN!D9</f>
        <v>Dir of FN</v>
      </c>
      <c r="L9" s="233" t="str">
        <f>FN!E9</f>
        <v>Sr. Acct</v>
      </c>
      <c r="M9" s="233" t="str">
        <f>FN!F9</f>
        <v>Accountant</v>
      </c>
      <c r="N9" s="233" t="str">
        <f>FN!G9</f>
        <v>Bookkepper</v>
      </c>
      <c r="O9" s="233" t="str">
        <f>FS!C9</f>
        <v>Food Serv.</v>
      </c>
      <c r="P9" s="233" t="str">
        <f>HR!C9</f>
        <v>Data</v>
      </c>
      <c r="Q9" s="233" t="str">
        <f>HR!D9</f>
        <v>Human Res.</v>
      </c>
      <c r="R9" s="233" t="str">
        <f>+IT!C9</f>
        <v>I.T.</v>
      </c>
      <c r="V9" s="159" t="s">
        <v>453</v>
      </c>
      <c r="W9" s="159" t="s">
        <v>588</v>
      </c>
    </row>
    <row r="10" spans="1:23" s="7" customFormat="1" ht="11" thickBot="1">
      <c r="A10" s="33"/>
      <c r="B10" s="33" t="s">
        <v>174</v>
      </c>
      <c r="C10" s="7" t="s">
        <v>638</v>
      </c>
      <c r="D10" s="7">
        <v>2830</v>
      </c>
      <c r="F10" s="251">
        <f>SUM(DID!C10)</f>
        <v>2322</v>
      </c>
      <c r="G10" s="251">
        <f>SUM(DID!D10)</f>
        <v>2322</v>
      </c>
      <c r="H10" s="251">
        <f>SUM(DID!E10)</f>
        <v>2322</v>
      </c>
      <c r="I10" s="251">
        <f>SUM(DID!F10)</f>
        <v>2322</v>
      </c>
      <c r="J10" s="7">
        <v>2620</v>
      </c>
      <c r="K10" s="252">
        <f>SUM(FN!D10)</f>
        <v>0</v>
      </c>
      <c r="L10" s="252">
        <f>SUM(FN!E10)</f>
        <v>2500</v>
      </c>
      <c r="M10" s="252">
        <f>SUM(FN!F10)</f>
        <v>2500</v>
      </c>
      <c r="N10" s="252">
        <f>SUM(FN!G10)</f>
        <v>2500</v>
      </c>
      <c r="O10" s="7">
        <f>FS!C10</f>
        <v>3100</v>
      </c>
      <c r="P10" s="252">
        <f>SUM(HR!C10)</f>
        <v>2125</v>
      </c>
      <c r="Q10" s="7">
        <f>HR!D10:D10</f>
        <v>2830</v>
      </c>
      <c r="R10" s="7">
        <f>+IT!C10</f>
        <v>2840</v>
      </c>
      <c r="T10" s="51"/>
      <c r="V10" s="105" t="s">
        <v>642</v>
      </c>
      <c r="W10" s="105" t="s">
        <v>454</v>
      </c>
    </row>
    <row r="11" spans="1:23">
      <c r="A11" s="31" t="s">
        <v>268</v>
      </c>
      <c r="F11" s="248">
        <f>SUM(DID!C11)</f>
        <v>0</v>
      </c>
      <c r="V11" s="103"/>
    </row>
    <row r="12" spans="1:23">
      <c r="A12" s="31" t="s">
        <v>269</v>
      </c>
      <c r="F12" s="248">
        <f>SUM(DID!C12)</f>
        <v>0</v>
      </c>
      <c r="V12" s="103"/>
    </row>
    <row r="13" spans="1:23" ht="12">
      <c r="A13" s="31" t="s">
        <v>171</v>
      </c>
      <c r="B13" s="31" t="s">
        <v>270</v>
      </c>
      <c r="C13" s="238"/>
      <c r="D13" s="239">
        <f>SUM('AC-SVC'!C13)</f>
        <v>0</v>
      </c>
      <c r="E13" s="239">
        <f>SUM('AC-SVC'!P13)</f>
        <v>0</v>
      </c>
      <c r="F13" s="248">
        <f>SUM(DID!C13)</f>
        <v>60000</v>
      </c>
      <c r="G13" s="239">
        <f>SUM(DID!D13)</f>
        <v>5000</v>
      </c>
      <c r="H13" s="239">
        <f>SUM(DID!E13)</f>
        <v>0</v>
      </c>
      <c r="I13" s="239">
        <f>SUM(DID!F13)</f>
        <v>60000</v>
      </c>
      <c r="J13" s="239">
        <f>SUM(FC!C13)</f>
        <v>0</v>
      </c>
      <c r="K13" s="239">
        <f>SUM(FN!D13)</f>
        <v>0</v>
      </c>
      <c r="L13" s="239">
        <f>SUM(FN!E13)</f>
        <v>0</v>
      </c>
      <c r="M13" s="239">
        <f>SUM(FN!F13)</f>
        <v>0</v>
      </c>
      <c r="N13" s="239">
        <f>SUM(FN!G13)</f>
        <v>0</v>
      </c>
      <c r="O13" s="239">
        <f>SUM(FS!C13)</f>
        <v>0</v>
      </c>
      <c r="P13" s="239">
        <f>SUM(HR!C13)</f>
        <v>0</v>
      </c>
      <c r="Q13" s="239">
        <f>SUM(HR!D13)</f>
        <v>0</v>
      </c>
      <c r="R13" s="239">
        <f>SUM(IT!C13)</f>
        <v>0</v>
      </c>
      <c r="S13" s="238"/>
      <c r="T13" s="240">
        <f t="shared" ref="T13:T37" si="0">SUM(C13:R13)</f>
        <v>125000</v>
      </c>
      <c r="V13" s="106"/>
      <c r="W13" s="282">
        <f>SUM(Sheet1!O13)</f>
        <v>0</v>
      </c>
    </row>
    <row r="14" spans="1:23" ht="12">
      <c r="A14" s="31" t="s">
        <v>172</v>
      </c>
      <c r="B14" s="31" t="s">
        <v>271</v>
      </c>
      <c r="C14" s="238"/>
      <c r="D14" s="239">
        <f>SUM('AC-SVC'!C14)</f>
        <v>0</v>
      </c>
      <c r="E14" s="239">
        <f>SUM('AC-SVC'!P14)</f>
        <v>0</v>
      </c>
      <c r="F14" s="248">
        <f>SUM(DID!C14)</f>
        <v>60000</v>
      </c>
      <c r="G14" s="239">
        <f>SUM(DID!D14)</f>
        <v>60000</v>
      </c>
      <c r="H14" s="239">
        <f>SUM(DID!E14)</f>
        <v>0</v>
      </c>
      <c r="I14" s="239">
        <f>SUM(DID!F14)</f>
        <v>0</v>
      </c>
      <c r="J14" s="239">
        <f>SUM(FC!C14)</f>
        <v>0</v>
      </c>
      <c r="K14" s="239">
        <f>SUM(FN!D14)</f>
        <v>0</v>
      </c>
      <c r="L14" s="239">
        <f>SUM(FN!E14)</f>
        <v>0</v>
      </c>
      <c r="M14" s="239">
        <f>SUM(FN!F14)</f>
        <v>0</v>
      </c>
      <c r="N14" s="239">
        <f>SUM(FN!G14)</f>
        <v>0</v>
      </c>
      <c r="O14" s="239">
        <f>SUM(FS!C14)</f>
        <v>0</v>
      </c>
      <c r="P14" s="239">
        <f>SUM(HR!C14)</f>
        <v>0</v>
      </c>
      <c r="Q14" s="239">
        <f>SUM(HR!D14)</f>
        <v>0</v>
      </c>
      <c r="R14" s="239">
        <f>SUM(IT!C14)</f>
        <v>0</v>
      </c>
      <c r="S14" s="238"/>
      <c r="T14" s="240">
        <f t="shared" si="0"/>
        <v>120000</v>
      </c>
      <c r="V14" s="107">
        <v>62450.34</v>
      </c>
      <c r="W14" s="282">
        <f>SUM(Sheet1!O14)</f>
        <v>73938.845943396227</v>
      </c>
    </row>
    <row r="15" spans="1:23" ht="12">
      <c r="A15" s="31" t="s">
        <v>173</v>
      </c>
      <c r="B15" s="31" t="s">
        <v>272</v>
      </c>
      <c r="C15" s="238"/>
      <c r="D15" s="239">
        <f>SUM('AC-SVC'!C15)</f>
        <v>0</v>
      </c>
      <c r="E15" s="239">
        <f>SUM('AC-SVC'!P15)</f>
        <v>0</v>
      </c>
      <c r="F15" s="248">
        <f>SUM(DID!C15)</f>
        <v>0</v>
      </c>
      <c r="G15" s="239">
        <f>SUM(DID!D15)</f>
        <v>5000</v>
      </c>
      <c r="H15" s="239">
        <f>SUM(DID!E15)</f>
        <v>0</v>
      </c>
      <c r="I15" s="239">
        <f>SUM(DID!F15)</f>
        <v>0</v>
      </c>
      <c r="J15" s="239">
        <f>SUM(FC!C15)</f>
        <v>0</v>
      </c>
      <c r="K15" s="239">
        <f>SUM(FN!D15)</f>
        <v>0</v>
      </c>
      <c r="L15" s="239">
        <f>SUM(FN!E15)</f>
        <v>0</v>
      </c>
      <c r="M15" s="239">
        <f>SUM(FN!F15)</f>
        <v>0</v>
      </c>
      <c r="N15" s="239">
        <f>SUM(FN!G15)</f>
        <v>0</v>
      </c>
      <c r="O15" s="239">
        <f>SUM(FS!C15)</f>
        <v>0</v>
      </c>
      <c r="P15" s="239">
        <f>SUM(HR!C15)</f>
        <v>0</v>
      </c>
      <c r="Q15" s="239">
        <f>SUM(HR!D15)</f>
        <v>0</v>
      </c>
      <c r="R15" s="239">
        <f>SUM(IT!C15)</f>
        <v>0</v>
      </c>
      <c r="S15" s="238"/>
      <c r="T15" s="240">
        <f t="shared" si="0"/>
        <v>5000</v>
      </c>
      <c r="V15" s="107"/>
      <c r="W15" s="282">
        <f>SUM(Sheet1!O15)</f>
        <v>0</v>
      </c>
    </row>
    <row r="16" spans="1:23" ht="12">
      <c r="A16" s="31" t="s">
        <v>193</v>
      </c>
      <c r="B16" s="31" t="s">
        <v>273</v>
      </c>
      <c r="C16" s="238"/>
      <c r="D16" s="239">
        <f>SUM('AC-SVC'!C16)</f>
        <v>0</v>
      </c>
      <c r="E16" s="239">
        <f>SUM('AC-SVC'!P16)</f>
        <v>0</v>
      </c>
      <c r="F16" s="248">
        <f>SUM(DID!C16)</f>
        <v>0</v>
      </c>
      <c r="G16" s="239">
        <f>SUM(DID!D16)</f>
        <v>0</v>
      </c>
      <c r="H16" s="239">
        <f>SUM(DID!E16)</f>
        <v>0</v>
      </c>
      <c r="I16" s="239">
        <f>SUM(DID!F16)</f>
        <v>0</v>
      </c>
      <c r="J16" s="239">
        <f>SUM(FC!C16)</f>
        <v>0</v>
      </c>
      <c r="K16" s="239">
        <f>SUM(FN!D16)</f>
        <v>0</v>
      </c>
      <c r="L16" s="239">
        <f>SUM(FN!E16)</f>
        <v>0</v>
      </c>
      <c r="M16" s="239">
        <f>SUM(FN!F16)</f>
        <v>0</v>
      </c>
      <c r="N16" s="239">
        <f>SUM(FN!G16)</f>
        <v>0</v>
      </c>
      <c r="O16" s="239">
        <f>SUM(FS!C16)</f>
        <v>0</v>
      </c>
      <c r="P16" s="239">
        <f>SUM(HR!C16)</f>
        <v>0</v>
      </c>
      <c r="Q16" s="239">
        <f>SUM(HR!D16)</f>
        <v>0</v>
      </c>
      <c r="R16" s="239">
        <f>SUM(IT!C16)</f>
        <v>0</v>
      </c>
      <c r="S16" s="238"/>
      <c r="T16" s="240">
        <f t="shared" si="0"/>
        <v>0</v>
      </c>
      <c r="V16" s="107">
        <v>16520.25</v>
      </c>
      <c r="W16" s="282">
        <f>SUM(Sheet1!O16)</f>
        <v>19559.352594339623</v>
      </c>
    </row>
    <row r="17" spans="1:23" ht="12">
      <c r="A17" s="31" t="s">
        <v>194</v>
      </c>
      <c r="B17" s="31" t="s">
        <v>274</v>
      </c>
      <c r="C17" s="238"/>
      <c r="D17" s="239">
        <f>SUM('AC-SVC'!C17)</f>
        <v>0</v>
      </c>
      <c r="E17" s="239">
        <f>SUM('AC-SVC'!P17)</f>
        <v>0</v>
      </c>
      <c r="F17" s="248">
        <f>SUM(DID!C17)</f>
        <v>0</v>
      </c>
      <c r="G17" s="239">
        <f>SUM(DID!D17)</f>
        <v>0</v>
      </c>
      <c r="H17" s="239">
        <f>SUM(DID!E17)</f>
        <v>0</v>
      </c>
      <c r="I17" s="239">
        <f>SUM(DID!F17)</f>
        <v>0</v>
      </c>
      <c r="J17" s="239">
        <f>SUM(FC!C17)</f>
        <v>0</v>
      </c>
      <c r="K17" s="239">
        <f>SUM(FN!D17)</f>
        <v>0</v>
      </c>
      <c r="L17" s="239">
        <f>SUM(FN!E17)</f>
        <v>0</v>
      </c>
      <c r="M17" s="239">
        <f>SUM(FN!F17)</f>
        <v>0</v>
      </c>
      <c r="N17" s="239">
        <f>SUM(FN!G17)</f>
        <v>0</v>
      </c>
      <c r="O17" s="239">
        <f>SUM(FS!C17)</f>
        <v>0</v>
      </c>
      <c r="P17" s="239">
        <f>SUM(HR!C17)</f>
        <v>0</v>
      </c>
      <c r="Q17" s="239">
        <f>SUM(HR!D17)</f>
        <v>0</v>
      </c>
      <c r="R17" s="239">
        <f>SUM(IT!C17)</f>
        <v>0</v>
      </c>
      <c r="S17" s="238"/>
      <c r="T17" s="240">
        <f t="shared" si="0"/>
        <v>0</v>
      </c>
      <c r="V17" s="107"/>
      <c r="W17" s="282">
        <f>SUM(Sheet1!O17)</f>
        <v>0</v>
      </c>
    </row>
    <row r="18" spans="1:23" ht="12">
      <c r="A18" s="31" t="s">
        <v>195</v>
      </c>
      <c r="B18" s="31" t="s">
        <v>275</v>
      </c>
      <c r="C18" s="238"/>
      <c r="D18" s="239">
        <f>SUM('AC-SVC'!C18)</f>
        <v>0</v>
      </c>
      <c r="E18" s="239">
        <f>SUM('AC-SVC'!P18)</f>
        <v>0</v>
      </c>
      <c r="F18" s="248">
        <f>SUM(DID!C18)</f>
        <v>0</v>
      </c>
      <c r="G18" s="239">
        <f>SUM(DID!D18)</f>
        <v>0</v>
      </c>
      <c r="H18" s="239">
        <f>SUM(DID!E18)</f>
        <v>0</v>
      </c>
      <c r="I18" s="239">
        <f>SUM(DID!F18)</f>
        <v>0</v>
      </c>
      <c r="J18" s="239">
        <f>SUM(FC!C18)</f>
        <v>0</v>
      </c>
      <c r="K18" s="239">
        <f>SUM(FN!D18)</f>
        <v>0</v>
      </c>
      <c r="L18" s="239">
        <f>SUM(FN!E18)</f>
        <v>0</v>
      </c>
      <c r="M18" s="239">
        <f>SUM(FN!F18)</f>
        <v>0</v>
      </c>
      <c r="N18" s="239">
        <f>SUM(FN!G18)</f>
        <v>0</v>
      </c>
      <c r="O18" s="239">
        <f>SUM(FS!C18)</f>
        <v>0</v>
      </c>
      <c r="P18" s="239">
        <f>SUM(HR!C18)</f>
        <v>0</v>
      </c>
      <c r="Q18" s="239">
        <f>SUM(HR!D18)</f>
        <v>0</v>
      </c>
      <c r="R18" s="239">
        <f>SUM(IT!C18)</f>
        <v>0</v>
      </c>
      <c r="S18" s="238"/>
      <c r="T18" s="240">
        <f t="shared" si="0"/>
        <v>0</v>
      </c>
      <c r="V18" s="107"/>
      <c r="W18" s="282">
        <f>SUM(Sheet1!O18)</f>
        <v>0</v>
      </c>
    </row>
    <row r="19" spans="1:23" ht="12">
      <c r="A19" s="31" t="s">
        <v>196</v>
      </c>
      <c r="B19" s="31" t="s">
        <v>276</v>
      </c>
      <c r="C19" s="238"/>
      <c r="D19" s="239">
        <f>SUM('AC-SVC'!C19)</f>
        <v>0</v>
      </c>
      <c r="E19" s="239">
        <f>SUM('AC-SVC'!P19)</f>
        <v>0</v>
      </c>
      <c r="F19" s="248">
        <f>SUM(DID!C19)</f>
        <v>0</v>
      </c>
      <c r="G19" s="239">
        <f>SUM(DID!D19)</f>
        <v>0</v>
      </c>
      <c r="H19" s="239">
        <f>SUM(DID!E19)</f>
        <v>0</v>
      </c>
      <c r="I19" s="239">
        <f>SUM(DID!F19)</f>
        <v>0</v>
      </c>
      <c r="J19" s="239">
        <f>SUM(FC!C19)</f>
        <v>0</v>
      </c>
      <c r="K19" s="239">
        <f>SUM(FN!D19)</f>
        <v>0</v>
      </c>
      <c r="L19" s="239">
        <f>SUM(FN!E19)</f>
        <v>0</v>
      </c>
      <c r="M19" s="239">
        <f>SUM(FN!F19)</f>
        <v>0</v>
      </c>
      <c r="N19" s="239">
        <f>SUM(FN!G19)</f>
        <v>0</v>
      </c>
      <c r="O19" s="239">
        <f>SUM(FS!C19)</f>
        <v>0</v>
      </c>
      <c r="P19" s="239">
        <f>SUM(HR!C19)</f>
        <v>0</v>
      </c>
      <c r="Q19" s="239">
        <f>SUM(HR!D19)</f>
        <v>0</v>
      </c>
      <c r="R19" s="239">
        <f>SUM(IT!C19)</f>
        <v>0</v>
      </c>
      <c r="S19" s="238"/>
      <c r="T19" s="240">
        <f t="shared" si="0"/>
        <v>0</v>
      </c>
      <c r="V19" s="107"/>
      <c r="W19" s="282">
        <f>SUM(Sheet1!O19)</f>
        <v>0</v>
      </c>
    </row>
    <row r="20" spans="1:23" ht="12">
      <c r="A20" s="31" t="s">
        <v>197</v>
      </c>
      <c r="B20" s="31" t="s">
        <v>277</v>
      </c>
      <c r="C20" s="238"/>
      <c r="D20" s="239">
        <f>SUM('AC-SVC'!C20)</f>
        <v>0</v>
      </c>
      <c r="E20" s="239">
        <f>SUM('AC-SVC'!P20)</f>
        <v>0</v>
      </c>
      <c r="F20" s="248">
        <f>SUM(DID!C20)</f>
        <v>0</v>
      </c>
      <c r="G20" s="239">
        <f>SUM(DID!D20)</f>
        <v>0</v>
      </c>
      <c r="H20" s="239">
        <f>SUM(DID!E20)</f>
        <v>0</v>
      </c>
      <c r="I20" s="239">
        <f>SUM(DID!F20)</f>
        <v>0</v>
      </c>
      <c r="J20" s="239">
        <f>SUM(FC!C20)</f>
        <v>0</v>
      </c>
      <c r="K20" s="239">
        <f>SUM(FN!D20)</f>
        <v>0</v>
      </c>
      <c r="L20" s="239">
        <f>SUM(FN!E20)</f>
        <v>0</v>
      </c>
      <c r="M20" s="239">
        <f>SUM(FN!F20)</f>
        <v>0</v>
      </c>
      <c r="N20" s="239">
        <f>SUM(FN!G20)</f>
        <v>0</v>
      </c>
      <c r="O20" s="239">
        <f>SUM(FS!C20)</f>
        <v>0</v>
      </c>
      <c r="P20" s="239">
        <f>SUM(HR!C20)</f>
        <v>0</v>
      </c>
      <c r="Q20" s="239">
        <f>SUM(HR!D20)</f>
        <v>0</v>
      </c>
      <c r="R20" s="239">
        <f>SUM(IT!C20)</f>
        <v>0</v>
      </c>
      <c r="S20" s="238"/>
      <c r="T20" s="240">
        <f t="shared" si="0"/>
        <v>0</v>
      </c>
      <c r="V20" s="107"/>
      <c r="W20" s="282">
        <f>SUM(Sheet1!O20)</f>
        <v>0</v>
      </c>
    </row>
    <row r="21" spans="1:23" ht="12">
      <c r="A21" s="31" t="s">
        <v>198</v>
      </c>
      <c r="B21" s="31" t="s">
        <v>278</v>
      </c>
      <c r="C21" s="238"/>
      <c r="D21" s="239">
        <f>SUM('AC-SVC'!C21)</f>
        <v>0</v>
      </c>
      <c r="E21" s="239">
        <f>SUM('AC-SVC'!P21)</f>
        <v>0</v>
      </c>
      <c r="F21" s="248">
        <f>SUM(DID!C21)</f>
        <v>0</v>
      </c>
      <c r="G21" s="239">
        <f>SUM(DID!D21)</f>
        <v>0</v>
      </c>
      <c r="H21" s="239">
        <f>SUM(DID!E21)</f>
        <v>0</v>
      </c>
      <c r="I21" s="239">
        <f>SUM(DID!F21)</f>
        <v>0</v>
      </c>
      <c r="J21" s="239">
        <f>SUM(FC!C21)</f>
        <v>0</v>
      </c>
      <c r="K21" s="239">
        <f>SUM(FN!D21)</f>
        <v>0</v>
      </c>
      <c r="L21" s="239">
        <f>SUM(FN!E21)</f>
        <v>0</v>
      </c>
      <c r="M21" s="239">
        <f>SUM(FN!F21)</f>
        <v>0</v>
      </c>
      <c r="N21" s="239">
        <f>SUM(FN!G21)</f>
        <v>0</v>
      </c>
      <c r="O21" s="239">
        <f>SUM(FS!C21)</f>
        <v>0</v>
      </c>
      <c r="P21" s="239">
        <f>SUM(HR!C21)</f>
        <v>0</v>
      </c>
      <c r="Q21" s="239">
        <f>SUM(HR!D21)</f>
        <v>0</v>
      </c>
      <c r="R21" s="239">
        <f>SUM(IT!C21)</f>
        <v>0</v>
      </c>
      <c r="S21" s="238"/>
      <c r="T21" s="240">
        <f t="shared" si="0"/>
        <v>0</v>
      </c>
      <c r="V21" s="107"/>
      <c r="W21" s="282">
        <f>SUM(Sheet1!O21)</f>
        <v>0</v>
      </c>
    </row>
    <row r="22" spans="1:23" ht="12">
      <c r="A22" s="31" t="s">
        <v>199</v>
      </c>
      <c r="B22" s="31" t="s">
        <v>279</v>
      </c>
      <c r="C22" s="238"/>
      <c r="D22" s="239">
        <f>SUM('AC-SVC'!C22)</f>
        <v>0</v>
      </c>
      <c r="E22" s="239">
        <f>SUM('AC-SVC'!P22)</f>
        <v>0</v>
      </c>
      <c r="F22" s="248">
        <f>SUM(DID!C22)</f>
        <v>0</v>
      </c>
      <c r="G22" s="239">
        <f>SUM(DID!D22)</f>
        <v>0</v>
      </c>
      <c r="H22" s="239">
        <f>SUM(DID!E22)</f>
        <v>0</v>
      </c>
      <c r="I22" s="239">
        <f>SUM(DID!F22)</f>
        <v>0</v>
      </c>
      <c r="J22" s="239">
        <f>SUM(FC!C22)</f>
        <v>0</v>
      </c>
      <c r="K22" s="239">
        <f>SUM(FN!D22)</f>
        <v>0</v>
      </c>
      <c r="L22" s="239">
        <f>SUM(FN!E22)</f>
        <v>0</v>
      </c>
      <c r="M22" s="239">
        <f>SUM(FN!F22)</f>
        <v>0</v>
      </c>
      <c r="N22" s="239">
        <f>SUM(FN!G22)</f>
        <v>0</v>
      </c>
      <c r="O22" s="239">
        <f>SUM(FS!C22)</f>
        <v>0</v>
      </c>
      <c r="P22" s="239">
        <f>SUM(HR!C22)</f>
        <v>0</v>
      </c>
      <c r="Q22" s="239">
        <f>SUM(HR!D22)</f>
        <v>0</v>
      </c>
      <c r="R22" s="239">
        <f>SUM(IT!C22)</f>
        <v>0</v>
      </c>
      <c r="S22" s="238"/>
      <c r="T22" s="240">
        <f t="shared" si="0"/>
        <v>0</v>
      </c>
      <c r="V22" s="107"/>
      <c r="W22" s="282">
        <f>SUM(Sheet1!O22)</f>
        <v>0</v>
      </c>
    </row>
    <row r="23" spans="1:23" ht="12">
      <c r="A23" s="31" t="s">
        <v>200</v>
      </c>
      <c r="B23" s="31" t="s">
        <v>280</v>
      </c>
      <c r="C23" s="238"/>
      <c r="D23" s="239">
        <f>SUM('AC-SVC'!C23)</f>
        <v>0</v>
      </c>
      <c r="E23" s="239">
        <f>SUM('AC-SVC'!P23)</f>
        <v>0</v>
      </c>
      <c r="F23" s="248">
        <f>SUM(DID!C23)</f>
        <v>0</v>
      </c>
      <c r="G23" s="239">
        <f>SUM(DID!D23)</f>
        <v>0</v>
      </c>
      <c r="H23" s="239">
        <f>SUM(DID!E23)</f>
        <v>0</v>
      </c>
      <c r="I23" s="239">
        <f>SUM(DID!F23)</f>
        <v>0</v>
      </c>
      <c r="J23" s="239">
        <f>SUM(FC!C23)</f>
        <v>0</v>
      </c>
      <c r="K23" s="239">
        <f>SUM(FN!D23)</f>
        <v>0</v>
      </c>
      <c r="L23" s="239">
        <f>SUM(FN!E23)</f>
        <v>0</v>
      </c>
      <c r="M23" s="239">
        <f>SUM(FN!F23)</f>
        <v>0</v>
      </c>
      <c r="N23" s="239">
        <f>SUM(FN!G23)</f>
        <v>0</v>
      </c>
      <c r="O23" s="239">
        <f>SUM(FS!C23)</f>
        <v>0</v>
      </c>
      <c r="P23" s="239">
        <f>SUM(HR!C23)</f>
        <v>0</v>
      </c>
      <c r="Q23" s="239">
        <f>SUM(HR!D23)</f>
        <v>0</v>
      </c>
      <c r="R23" s="239">
        <f>SUM(IT!C23)</f>
        <v>0</v>
      </c>
      <c r="S23" s="238"/>
      <c r="T23" s="240">
        <f t="shared" si="0"/>
        <v>0</v>
      </c>
      <c r="V23" s="107"/>
      <c r="W23" s="282">
        <f>SUM(Sheet1!O23)</f>
        <v>0</v>
      </c>
    </row>
    <row r="24" spans="1:23" ht="12">
      <c r="A24" s="31" t="s">
        <v>201</v>
      </c>
      <c r="B24" s="31" t="s">
        <v>281</v>
      </c>
      <c r="C24" s="238"/>
      <c r="D24" s="239">
        <f>SUM('AC-SVC'!C24)</f>
        <v>0</v>
      </c>
      <c r="E24" s="239">
        <f>SUM('AC-SVC'!P24)</f>
        <v>0</v>
      </c>
      <c r="F24" s="248">
        <f>SUM(DID!C24)</f>
        <v>0</v>
      </c>
      <c r="G24" s="239">
        <f>SUM(DID!D24)</f>
        <v>0</v>
      </c>
      <c r="H24" s="239">
        <f>SUM(DID!E24)</f>
        <v>0</v>
      </c>
      <c r="I24" s="239">
        <f>SUM(DID!F24)</f>
        <v>0</v>
      </c>
      <c r="J24" s="239">
        <f>SUM(FC!C24)</f>
        <v>0</v>
      </c>
      <c r="K24" s="239">
        <f>SUM(FN!D24)</f>
        <v>0</v>
      </c>
      <c r="L24" s="239">
        <f>SUM(FN!E24)</f>
        <v>0</v>
      </c>
      <c r="M24" s="239">
        <f>SUM(FN!F24)</f>
        <v>0</v>
      </c>
      <c r="N24" s="239">
        <f>SUM(FN!G24)</f>
        <v>0</v>
      </c>
      <c r="O24" s="239">
        <f>SUM(FS!C24)</f>
        <v>0</v>
      </c>
      <c r="P24" s="239">
        <f>SUM(HR!C24)</f>
        <v>0</v>
      </c>
      <c r="Q24" s="239">
        <f>SUM(HR!D24)</f>
        <v>0</v>
      </c>
      <c r="R24" s="239">
        <f>SUM(IT!C24)</f>
        <v>0</v>
      </c>
      <c r="S24" s="238"/>
      <c r="T24" s="240">
        <f t="shared" si="0"/>
        <v>0</v>
      </c>
      <c r="V24" s="107"/>
      <c r="W24" s="282">
        <f>SUM(Sheet1!O24)</f>
        <v>0</v>
      </c>
    </row>
    <row r="25" spans="1:23" ht="12">
      <c r="A25" s="31" t="s">
        <v>202</v>
      </c>
      <c r="B25" s="31" t="s">
        <v>282</v>
      </c>
      <c r="C25" s="238"/>
      <c r="D25" s="239">
        <f>SUM('AC-SVC'!C25)</f>
        <v>0</v>
      </c>
      <c r="E25" s="239">
        <f>SUM('AC-SVC'!P25)</f>
        <v>0</v>
      </c>
      <c r="F25" s="248">
        <f>SUM(DID!C25)</f>
        <v>0</v>
      </c>
      <c r="G25" s="239">
        <f>SUM(DID!D25)</f>
        <v>0</v>
      </c>
      <c r="H25" s="239">
        <f>SUM(DID!E25)</f>
        <v>0</v>
      </c>
      <c r="I25" s="239">
        <f>SUM(DID!F25)</f>
        <v>0</v>
      </c>
      <c r="J25" s="239">
        <f>SUM(FC!C25)</f>
        <v>0</v>
      </c>
      <c r="K25" s="239">
        <f>SUM(FN!D25)</f>
        <v>0</v>
      </c>
      <c r="L25" s="239">
        <f>SUM(FN!E25)</f>
        <v>0</v>
      </c>
      <c r="M25" s="239">
        <f>SUM(FN!F25)</f>
        <v>0</v>
      </c>
      <c r="N25" s="239">
        <f>SUM(FN!G25)</f>
        <v>0</v>
      </c>
      <c r="O25" s="239">
        <f>SUM(FS!C25)</f>
        <v>0</v>
      </c>
      <c r="P25" s="239">
        <f>SUM(HR!C25)</f>
        <v>0</v>
      </c>
      <c r="Q25" s="239">
        <f>SUM(HR!D25)</f>
        <v>0</v>
      </c>
      <c r="R25" s="239">
        <f>SUM(IT!C25)</f>
        <v>0</v>
      </c>
      <c r="S25" s="238"/>
      <c r="T25" s="240">
        <f t="shared" si="0"/>
        <v>0</v>
      </c>
      <c r="V25" s="107"/>
      <c r="W25" s="282">
        <f>SUM(Sheet1!O25)</f>
        <v>0</v>
      </c>
    </row>
    <row r="26" spans="1:23" ht="12">
      <c r="A26" s="31" t="s">
        <v>203</v>
      </c>
      <c r="B26" s="31" t="s">
        <v>283</v>
      </c>
      <c r="C26" s="238"/>
      <c r="D26" s="239">
        <f>SUM('AC-SVC'!C26)</f>
        <v>0</v>
      </c>
      <c r="E26" s="239">
        <f>SUM('AC-SVC'!P26)</f>
        <v>0</v>
      </c>
      <c r="F26" s="248">
        <f>SUM(DID!C26)</f>
        <v>0</v>
      </c>
      <c r="G26" s="239">
        <f>SUM(DID!D26)</f>
        <v>0</v>
      </c>
      <c r="H26" s="239">
        <f>SUM(DID!E26)</f>
        <v>0</v>
      </c>
      <c r="I26" s="239">
        <f>SUM(DID!F26)</f>
        <v>0</v>
      </c>
      <c r="J26" s="239">
        <f>SUM(FC!C26)</f>
        <v>0</v>
      </c>
      <c r="K26" s="239">
        <f>SUM(FN!D26)</f>
        <v>0</v>
      </c>
      <c r="L26" s="239">
        <f>SUM(FN!E26)</f>
        <v>0</v>
      </c>
      <c r="M26" s="239">
        <f>SUM(FN!F26)</f>
        <v>0</v>
      </c>
      <c r="N26" s="239">
        <f>SUM(FN!G26)</f>
        <v>0</v>
      </c>
      <c r="O26" s="239">
        <f>SUM(FS!C26)</f>
        <v>0</v>
      </c>
      <c r="P26" s="239">
        <f>SUM(HR!C26)</f>
        <v>0</v>
      </c>
      <c r="Q26" s="239">
        <f>SUM(HR!D26)</f>
        <v>0</v>
      </c>
      <c r="R26" s="239">
        <f>SUM(IT!C26)</f>
        <v>0</v>
      </c>
      <c r="S26" s="238"/>
      <c r="T26" s="240">
        <f t="shared" si="0"/>
        <v>0</v>
      </c>
      <c r="V26" s="107"/>
      <c r="W26" s="282">
        <f>SUM(Sheet1!O26)</f>
        <v>0</v>
      </c>
    </row>
    <row r="27" spans="1:23" ht="12">
      <c r="A27" s="31" t="s">
        <v>204</v>
      </c>
      <c r="B27" s="31" t="s">
        <v>284</v>
      </c>
      <c r="C27" s="238"/>
      <c r="D27" s="239">
        <f>SUM('AC-SVC'!C27)</f>
        <v>0</v>
      </c>
      <c r="E27" s="239">
        <f>SUM('AC-SVC'!P27)</f>
        <v>0</v>
      </c>
      <c r="F27" s="248">
        <f>SUM(DID!C27)</f>
        <v>0</v>
      </c>
      <c r="G27" s="239">
        <f>SUM(DID!D27)</f>
        <v>0</v>
      </c>
      <c r="H27" s="239">
        <f>SUM(DID!E27)</f>
        <v>0</v>
      </c>
      <c r="I27" s="239">
        <f>SUM(DID!F27)</f>
        <v>0</v>
      </c>
      <c r="J27" s="239">
        <f>SUM(FC!C27)</f>
        <v>0</v>
      </c>
      <c r="K27" s="239">
        <f>SUM(FN!D27)</f>
        <v>0</v>
      </c>
      <c r="L27" s="239">
        <f>SUM(FN!E27)</f>
        <v>0</v>
      </c>
      <c r="M27" s="239">
        <f>SUM(FN!F27)</f>
        <v>0</v>
      </c>
      <c r="N27" s="239">
        <f>SUM(FN!G27)</f>
        <v>0</v>
      </c>
      <c r="O27" s="239">
        <f>SUM(FS!C27)</f>
        <v>0</v>
      </c>
      <c r="P27" s="239">
        <f>SUM(HR!C27)</f>
        <v>0</v>
      </c>
      <c r="Q27" s="239">
        <f>SUM(HR!D27)</f>
        <v>0</v>
      </c>
      <c r="R27" s="239">
        <f>SUM(IT!C27)</f>
        <v>0</v>
      </c>
      <c r="S27" s="238"/>
      <c r="T27" s="240">
        <f t="shared" si="0"/>
        <v>0</v>
      </c>
      <c r="V27" s="107"/>
      <c r="W27" s="282">
        <f>SUM(Sheet1!O27)</f>
        <v>0</v>
      </c>
    </row>
    <row r="28" spans="1:23" ht="12">
      <c r="A28" s="31" t="s">
        <v>205</v>
      </c>
      <c r="B28" s="31" t="s">
        <v>285</v>
      </c>
      <c r="C28" s="238"/>
      <c r="D28" s="239">
        <f>SUM('AC-SVC'!C28)</f>
        <v>0</v>
      </c>
      <c r="E28" s="239">
        <f>SUM('AC-SVC'!P28)</f>
        <v>0</v>
      </c>
      <c r="F28" s="248">
        <f>SUM(DID!C28)</f>
        <v>0</v>
      </c>
      <c r="G28" s="239">
        <f>SUM(DID!D28)</f>
        <v>0</v>
      </c>
      <c r="H28" s="239">
        <f>SUM(DID!E28)</f>
        <v>0</v>
      </c>
      <c r="I28" s="239">
        <f>SUM(DID!F28)</f>
        <v>0</v>
      </c>
      <c r="J28" s="239">
        <f>SUM(FC!C28)</f>
        <v>0</v>
      </c>
      <c r="K28" s="239">
        <f>SUM(FN!D28)</f>
        <v>0</v>
      </c>
      <c r="L28" s="239">
        <f>SUM(FN!E28)</f>
        <v>0</v>
      </c>
      <c r="M28" s="239">
        <f>SUM(FN!F28)</f>
        <v>0</v>
      </c>
      <c r="N28" s="239">
        <f>SUM(FN!G28)</f>
        <v>0</v>
      </c>
      <c r="O28" s="239">
        <f>SUM(FS!C28)</f>
        <v>0</v>
      </c>
      <c r="P28" s="239">
        <f>SUM(HR!C28)</f>
        <v>0</v>
      </c>
      <c r="Q28" s="239">
        <f>SUM(HR!D28)</f>
        <v>0</v>
      </c>
      <c r="R28" s="239">
        <f>SUM(IT!C28)</f>
        <v>0</v>
      </c>
      <c r="S28" s="238"/>
      <c r="T28" s="240">
        <f t="shared" si="0"/>
        <v>0</v>
      </c>
      <c r="V28" s="107"/>
      <c r="W28" s="282">
        <f>SUM(Sheet1!O28)</f>
        <v>0</v>
      </c>
    </row>
    <row r="29" spans="1:23" ht="12">
      <c r="A29" s="31" t="s">
        <v>206</v>
      </c>
      <c r="B29" s="31" t="s">
        <v>286</v>
      </c>
      <c r="C29" s="238"/>
      <c r="D29" s="239">
        <f>SUM('AC-SVC'!C29)</f>
        <v>0</v>
      </c>
      <c r="E29" s="239">
        <f>SUM('AC-SVC'!P29)</f>
        <v>0</v>
      </c>
      <c r="F29" s="248">
        <f>SUM(DID!C29)</f>
        <v>0</v>
      </c>
      <c r="G29" s="239">
        <f>SUM(DID!D29)</f>
        <v>0</v>
      </c>
      <c r="H29" s="239">
        <f>SUM(DID!E29)</f>
        <v>0</v>
      </c>
      <c r="I29" s="239">
        <f>SUM(DID!F29)</f>
        <v>0</v>
      </c>
      <c r="J29" s="239">
        <f>SUM(FC!C29)</f>
        <v>0</v>
      </c>
      <c r="K29" s="239">
        <f>SUM(FN!D29)</f>
        <v>0</v>
      </c>
      <c r="L29" s="239">
        <f>SUM(FN!E29)</f>
        <v>0</v>
      </c>
      <c r="M29" s="239">
        <f>SUM(FN!F29)</f>
        <v>0</v>
      </c>
      <c r="N29" s="239">
        <f>SUM(FN!G29)</f>
        <v>0</v>
      </c>
      <c r="O29" s="239">
        <f>SUM(FS!C29)</f>
        <v>0</v>
      </c>
      <c r="P29" s="239">
        <f>SUM(HR!C29)</f>
        <v>0</v>
      </c>
      <c r="Q29" s="239">
        <f>SUM(HR!D29)</f>
        <v>0</v>
      </c>
      <c r="R29" s="239">
        <f>SUM(IT!C29)</f>
        <v>0</v>
      </c>
      <c r="S29" s="238"/>
      <c r="T29" s="240">
        <f t="shared" si="0"/>
        <v>0</v>
      </c>
      <c r="V29" s="107"/>
      <c r="W29" s="282">
        <f>SUM(Sheet1!O29)</f>
        <v>0</v>
      </c>
    </row>
    <row r="30" spans="1:23" ht="12">
      <c r="A30" s="31" t="s">
        <v>208</v>
      </c>
      <c r="B30" s="31" t="s">
        <v>287</v>
      </c>
      <c r="C30" s="238"/>
      <c r="D30" s="239">
        <f>SUM('AC-SVC'!C30)</f>
        <v>0</v>
      </c>
      <c r="E30" s="239">
        <f>SUM('AC-SVC'!P30)</f>
        <v>0</v>
      </c>
      <c r="F30" s="248">
        <f>SUM(DID!C30)</f>
        <v>0</v>
      </c>
      <c r="G30" s="239">
        <f>SUM(DID!D30)</f>
        <v>0</v>
      </c>
      <c r="H30" s="239">
        <f>SUM(DID!E30)</f>
        <v>0</v>
      </c>
      <c r="I30" s="239">
        <f>SUM(DID!F30)</f>
        <v>0</v>
      </c>
      <c r="J30" s="239">
        <f>SUM(FC!C30)</f>
        <v>0</v>
      </c>
      <c r="K30" s="239">
        <f>SUM(FN!D30)</f>
        <v>0</v>
      </c>
      <c r="L30" s="239">
        <f>SUM(FN!E30)</f>
        <v>0</v>
      </c>
      <c r="M30" s="239">
        <f>SUM(FN!F30)</f>
        <v>0</v>
      </c>
      <c r="N30" s="239">
        <f>SUM(FN!G30)</f>
        <v>0</v>
      </c>
      <c r="O30" s="239">
        <f>SUM(FS!C30)</f>
        <v>0</v>
      </c>
      <c r="P30" s="239">
        <f>SUM(HR!C30)</f>
        <v>0</v>
      </c>
      <c r="Q30" s="239">
        <f>SUM(HR!D30)</f>
        <v>0</v>
      </c>
      <c r="R30" s="239">
        <f>SUM(IT!C30)</f>
        <v>0</v>
      </c>
      <c r="S30" s="238"/>
      <c r="T30" s="240">
        <f t="shared" si="0"/>
        <v>0</v>
      </c>
      <c r="V30" s="107"/>
      <c r="W30" s="282">
        <f>SUM(Sheet1!O30)</f>
        <v>0</v>
      </c>
    </row>
    <row r="31" spans="1:23" ht="12">
      <c r="A31" s="31" t="s">
        <v>207</v>
      </c>
      <c r="B31" s="31" t="s">
        <v>288</v>
      </c>
      <c r="C31" s="238"/>
      <c r="D31" s="239">
        <f>SUM('AC-SVC'!C31)</f>
        <v>0</v>
      </c>
      <c r="E31" s="239">
        <f>SUM('AC-SVC'!P31)</f>
        <v>0</v>
      </c>
      <c r="F31" s="248">
        <f>SUM(DID!C31)</f>
        <v>0</v>
      </c>
      <c r="G31" s="239">
        <f>SUM(DID!D31)</f>
        <v>0</v>
      </c>
      <c r="H31" s="239">
        <f>SUM(DID!E31)</f>
        <v>0</v>
      </c>
      <c r="I31" s="239">
        <f>SUM(DID!F31)</f>
        <v>0</v>
      </c>
      <c r="J31" s="239">
        <f>SUM(FC!C31)</f>
        <v>0</v>
      </c>
      <c r="K31" s="239">
        <f>SUM(FN!D31)</f>
        <v>5400</v>
      </c>
      <c r="L31" s="239">
        <f>SUM(FN!E31)</f>
        <v>0</v>
      </c>
      <c r="M31" s="239">
        <f>SUM(FN!F31)</f>
        <v>0</v>
      </c>
      <c r="N31" s="239">
        <f>SUM(FN!G31)</f>
        <v>0</v>
      </c>
      <c r="O31" s="239">
        <f>SUM(FS!C31)</f>
        <v>0</v>
      </c>
      <c r="P31" s="239">
        <f>SUM(HR!C31)</f>
        <v>0</v>
      </c>
      <c r="Q31" s="239">
        <f>SUM(HR!D31)</f>
        <v>0</v>
      </c>
      <c r="R31" s="239">
        <f>SUM(IT!C31)</f>
        <v>0</v>
      </c>
      <c r="S31" s="238"/>
      <c r="T31" s="240">
        <f t="shared" si="0"/>
        <v>5400</v>
      </c>
      <c r="V31" s="107">
        <v>2592</v>
      </c>
      <c r="W31" s="282">
        <f>SUM(Sheet1!O31)</f>
        <v>3068.8301886792451</v>
      </c>
    </row>
    <row r="32" spans="1:23" ht="12">
      <c r="A32" s="31" t="s">
        <v>209</v>
      </c>
      <c r="B32" s="31" t="s">
        <v>210</v>
      </c>
      <c r="C32" s="238">
        <f>SUM(CAMP!BQ175+OLIVIER!AM175+BUNCHE!BB175)</f>
        <v>1854000.75</v>
      </c>
      <c r="D32" s="239">
        <f>SUM('AC-SVC'!C32)</f>
        <v>0</v>
      </c>
      <c r="E32" s="239">
        <f>SUM('AC-SVC'!P32)</f>
        <v>0</v>
      </c>
      <c r="F32" s="248">
        <f>SUM(DID!C32)</f>
        <v>0</v>
      </c>
      <c r="G32" s="239">
        <f>SUM(DID!D32)</f>
        <v>0</v>
      </c>
      <c r="H32" s="239">
        <f>SUM(DID!E32)</f>
        <v>0</v>
      </c>
      <c r="I32" s="239">
        <f>SUM(DID!F32)</f>
        <v>0</v>
      </c>
      <c r="J32" s="239">
        <f>SUM(FC!C32)</f>
        <v>0</v>
      </c>
      <c r="K32" s="239">
        <f>SUM(FN!D32)</f>
        <v>0</v>
      </c>
      <c r="L32" s="239">
        <f>SUM(FN!E32)</f>
        <v>0</v>
      </c>
      <c r="M32" s="239">
        <f>SUM(FN!F32)</f>
        <v>0</v>
      </c>
      <c r="N32" s="239">
        <f>SUM(FN!G32)</f>
        <v>0</v>
      </c>
      <c r="O32" s="239">
        <f>SUM(FS!C32)</f>
        <v>0</v>
      </c>
      <c r="P32" s="239">
        <f>SUM(HR!C32)</f>
        <v>0</v>
      </c>
      <c r="Q32" s="239">
        <f>SUM(HR!D32)</f>
        <v>0</v>
      </c>
      <c r="R32" s="239">
        <f>SUM(IT!C32)</f>
        <v>0</v>
      </c>
      <c r="S32" s="238"/>
      <c r="T32" s="240">
        <f t="shared" si="0"/>
        <v>1854000.75</v>
      </c>
      <c r="V32" s="107"/>
      <c r="W32" s="282">
        <f>SUM(Sheet1!O32)</f>
        <v>0</v>
      </c>
    </row>
    <row r="33" spans="1:23" ht="12">
      <c r="A33" s="31" t="s">
        <v>213</v>
      </c>
      <c r="B33" s="31" t="s">
        <v>214</v>
      </c>
      <c r="C33" s="238"/>
      <c r="D33" s="239">
        <f>SUM('AC-SVC'!C33)</f>
        <v>0</v>
      </c>
      <c r="E33" s="239">
        <f>SUM('AC-SVC'!P33)</f>
        <v>0</v>
      </c>
      <c r="F33" s="248">
        <f>SUM(DID!C33)</f>
        <v>20000</v>
      </c>
      <c r="G33" s="239">
        <f>SUM(DID!D33)</f>
        <v>30000</v>
      </c>
      <c r="H33" s="239">
        <f>SUM(DID!E33)</f>
        <v>0</v>
      </c>
      <c r="I33" s="239">
        <f>SUM(DID!F33)</f>
        <v>0</v>
      </c>
      <c r="J33" s="239">
        <f>SUM(FC!C33)</f>
        <v>0</v>
      </c>
      <c r="K33" s="239">
        <f>SUM(FN!D33)</f>
        <v>0</v>
      </c>
      <c r="L33" s="239">
        <f>SUM(FN!E33)</f>
        <v>0</v>
      </c>
      <c r="M33" s="239">
        <f>SUM(FN!F33)</f>
        <v>0</v>
      </c>
      <c r="N33" s="239">
        <f>SUM(FN!G33)</f>
        <v>0</v>
      </c>
      <c r="O33" s="239">
        <f>SUM(FS!C33)</f>
        <v>0</v>
      </c>
      <c r="P33" s="239">
        <f>SUM(HR!C33)</f>
        <v>0</v>
      </c>
      <c r="Q33" s="239">
        <f>SUM(HR!D33)</f>
        <v>0</v>
      </c>
      <c r="R33" s="239">
        <f>SUM(IT!C33)</f>
        <v>0</v>
      </c>
      <c r="S33" s="238"/>
      <c r="T33" s="240">
        <f t="shared" si="0"/>
        <v>50000</v>
      </c>
      <c r="V33" s="107"/>
      <c r="W33" s="282">
        <f>SUM(Sheet1!O33)</f>
        <v>0</v>
      </c>
    </row>
    <row r="34" spans="1:23" ht="12">
      <c r="A34" s="31" t="s">
        <v>212</v>
      </c>
      <c r="B34" s="31" t="s">
        <v>289</v>
      </c>
      <c r="C34" s="238"/>
      <c r="D34" s="239">
        <f>SUM('AC-SVC'!C34)</f>
        <v>0</v>
      </c>
      <c r="E34" s="239">
        <f>SUM('AC-SVC'!P34)</f>
        <v>0</v>
      </c>
      <c r="F34" s="248">
        <f>SUM(DID!C34)</f>
        <v>0</v>
      </c>
      <c r="G34" s="239">
        <f>SUM(DID!D34)</f>
        <v>0</v>
      </c>
      <c r="H34" s="239">
        <f>SUM(DID!E34)</f>
        <v>0</v>
      </c>
      <c r="I34" s="239">
        <f>SUM(DID!F34)</f>
        <v>0</v>
      </c>
      <c r="J34" s="239">
        <f>SUM(FC!C34)</f>
        <v>0</v>
      </c>
      <c r="K34" s="239">
        <f>SUM(FN!D34)</f>
        <v>0</v>
      </c>
      <c r="L34" s="239">
        <f>SUM(FN!E34)</f>
        <v>0</v>
      </c>
      <c r="M34" s="239">
        <f>SUM(FN!F34)</f>
        <v>0</v>
      </c>
      <c r="N34" s="239">
        <f>SUM(FN!G34)</f>
        <v>0</v>
      </c>
      <c r="O34" s="239">
        <f>SUM(FS!C34)</f>
        <v>0</v>
      </c>
      <c r="P34" s="239">
        <f>SUM(HR!C34)</f>
        <v>0</v>
      </c>
      <c r="Q34" s="239">
        <f>SUM(HR!D34)</f>
        <v>0</v>
      </c>
      <c r="R34" s="239">
        <f>SUM(IT!C34)</f>
        <v>0</v>
      </c>
      <c r="S34" s="238"/>
      <c r="T34" s="240">
        <f t="shared" si="0"/>
        <v>0</v>
      </c>
      <c r="V34" s="107"/>
      <c r="W34" s="282">
        <f>SUM(Sheet1!O34)</f>
        <v>0</v>
      </c>
    </row>
    <row r="35" spans="1:23" ht="12">
      <c r="A35" s="31" t="s">
        <v>211</v>
      </c>
      <c r="B35" s="31" t="s">
        <v>290</v>
      </c>
      <c r="C35" s="238"/>
      <c r="D35" s="239">
        <f>SUM('AC-SVC'!C35)</f>
        <v>0</v>
      </c>
      <c r="E35" s="239">
        <f>SUM('AC-SVC'!P35)</f>
        <v>0</v>
      </c>
      <c r="F35" s="248">
        <f>SUM(DID!C35)</f>
        <v>0</v>
      </c>
      <c r="G35" s="239">
        <f>SUM(DID!D35)</f>
        <v>0</v>
      </c>
      <c r="H35" s="239">
        <f>SUM(DID!E35)</f>
        <v>13500</v>
      </c>
      <c r="I35" s="239">
        <f>SUM(DID!F35)</f>
        <v>0</v>
      </c>
      <c r="J35" s="239">
        <f>SUM(FC!C35)</f>
        <v>0</v>
      </c>
      <c r="K35" s="239">
        <f>SUM(FN!D35)</f>
        <v>0</v>
      </c>
      <c r="L35" s="239">
        <f>SUM(FN!E35)</f>
        <v>0</v>
      </c>
      <c r="M35" s="239">
        <f>SUM(FN!F35)</f>
        <v>0</v>
      </c>
      <c r="N35" s="239">
        <f>SUM(FN!G35)</f>
        <v>0</v>
      </c>
      <c r="O35" s="239">
        <f>SUM(FS!C35)</f>
        <v>0</v>
      </c>
      <c r="P35" s="239">
        <f>SUM(HR!C35)</f>
        <v>0</v>
      </c>
      <c r="Q35" s="239">
        <f>SUM(HR!D35)</f>
        <v>0</v>
      </c>
      <c r="R35" s="239">
        <f>SUM(IT!C35)</f>
        <v>0</v>
      </c>
      <c r="S35" s="238"/>
      <c r="T35" s="240">
        <f t="shared" si="0"/>
        <v>13500</v>
      </c>
      <c r="V35" s="107">
        <v>1523624.78</v>
      </c>
      <c r="W35" s="282">
        <f>SUM(Sheet1!O35)</f>
        <v>1803914.2442452828</v>
      </c>
    </row>
    <row r="36" spans="1:23" ht="12">
      <c r="A36" s="31" t="s">
        <v>215</v>
      </c>
      <c r="B36" s="31" t="s">
        <v>291</v>
      </c>
      <c r="C36" s="238"/>
      <c r="D36" s="239">
        <f>SUM('AC-SVC'!C36)</f>
        <v>0</v>
      </c>
      <c r="E36" s="239">
        <f>SUM('AC-SVC'!P36)</f>
        <v>0</v>
      </c>
      <c r="F36" s="248">
        <f>SUM(DID!C36)</f>
        <v>0</v>
      </c>
      <c r="G36" s="239">
        <f>SUM(DID!D36)</f>
        <v>0</v>
      </c>
      <c r="H36" s="239">
        <f>SUM(DID!E36)</f>
        <v>0</v>
      </c>
      <c r="I36" s="239">
        <f>SUM(DID!F36)</f>
        <v>0</v>
      </c>
      <c r="J36" s="239">
        <f>SUM(FC!C36)</f>
        <v>0</v>
      </c>
      <c r="K36" s="239">
        <f>SUM(FN!D36)</f>
        <v>0</v>
      </c>
      <c r="L36" s="239">
        <f>SUM(FN!E36)</f>
        <v>0</v>
      </c>
      <c r="M36" s="239">
        <f>SUM(FN!F36)</f>
        <v>0</v>
      </c>
      <c r="N36" s="239">
        <f>SUM(FN!G36)</f>
        <v>0</v>
      </c>
      <c r="O36" s="239">
        <f>SUM(FS!C36)</f>
        <v>0</v>
      </c>
      <c r="P36" s="239">
        <f>SUM(HR!C36)</f>
        <v>0</v>
      </c>
      <c r="Q36" s="239">
        <f>SUM(HR!D36)</f>
        <v>0</v>
      </c>
      <c r="R36" s="239">
        <f>SUM(IT!C36)</f>
        <v>0</v>
      </c>
      <c r="S36" s="238"/>
      <c r="T36" s="240">
        <f t="shared" si="0"/>
        <v>0</v>
      </c>
      <c r="V36" s="107">
        <v>736.5</v>
      </c>
      <c r="W36" s="282">
        <f>SUM(Sheet1!O36)</f>
        <v>871.98820754716974</v>
      </c>
    </row>
    <row r="37" spans="1:23" ht="12">
      <c r="A37" s="31" t="s">
        <v>216</v>
      </c>
      <c r="B37" s="31" t="s">
        <v>292</v>
      </c>
      <c r="C37" s="241"/>
      <c r="D37" s="241">
        <f>SUM('AC-SVC'!C37)</f>
        <v>0</v>
      </c>
      <c r="E37" s="241">
        <f>SUM('AC-SVC'!P37)</f>
        <v>0</v>
      </c>
      <c r="F37" s="249">
        <f>SUM(DID!C37)</f>
        <v>0</v>
      </c>
      <c r="G37" s="241">
        <f>SUM(DID!D37)</f>
        <v>0</v>
      </c>
      <c r="H37" s="241">
        <f>SUM(DID!E37)</f>
        <v>0</v>
      </c>
      <c r="I37" s="241">
        <f>SUM(DID!F37)</f>
        <v>0</v>
      </c>
      <c r="J37" s="241">
        <f>SUM(FC!C37)</f>
        <v>0</v>
      </c>
      <c r="K37" s="241">
        <f>SUM(FN!D37)</f>
        <v>0</v>
      </c>
      <c r="L37" s="241">
        <f>SUM(FN!E37)</f>
        <v>0</v>
      </c>
      <c r="M37" s="241">
        <f>SUM(FN!F37)</f>
        <v>0</v>
      </c>
      <c r="N37" s="241">
        <f>SUM(FN!G37)</f>
        <v>0</v>
      </c>
      <c r="O37" s="241">
        <f>SUM(FS!C37)</f>
        <v>0</v>
      </c>
      <c r="P37" s="241">
        <f>SUM(HR!C37)</f>
        <v>0</v>
      </c>
      <c r="Q37" s="241">
        <f>SUM(HR!D37)</f>
        <v>0</v>
      </c>
      <c r="R37" s="241">
        <f>SUM(IT!C37)</f>
        <v>0</v>
      </c>
      <c r="S37" s="238"/>
      <c r="T37" s="242">
        <f t="shared" si="0"/>
        <v>0</v>
      </c>
      <c r="V37" s="108"/>
      <c r="W37" s="283">
        <f>SUM(Sheet1!O37)</f>
        <v>0</v>
      </c>
    </row>
    <row r="38" spans="1:23" ht="10">
      <c r="B38" s="31" t="s">
        <v>293</v>
      </c>
      <c r="C38" s="238">
        <f>+SUM(C13:C37)</f>
        <v>1854000.75</v>
      </c>
      <c r="D38" s="238">
        <f>+SUM(D13:D37)</f>
        <v>0</v>
      </c>
      <c r="E38" s="238">
        <f>+SUM(E13:E37)</f>
        <v>0</v>
      </c>
      <c r="F38" s="248">
        <f>SUM(DID!C38)</f>
        <v>140000</v>
      </c>
      <c r="G38" s="238">
        <f t="shared" ref="G38:R38" si="1">+SUM(G13:G37)</f>
        <v>100000</v>
      </c>
      <c r="H38" s="238">
        <f t="shared" si="1"/>
        <v>13500</v>
      </c>
      <c r="I38" s="238">
        <f t="shared" si="1"/>
        <v>60000</v>
      </c>
      <c r="J38" s="238">
        <f t="shared" si="1"/>
        <v>0</v>
      </c>
      <c r="K38" s="238">
        <f t="shared" si="1"/>
        <v>5400</v>
      </c>
      <c r="L38" s="238">
        <f t="shared" si="1"/>
        <v>0</v>
      </c>
      <c r="M38" s="238">
        <f t="shared" ref="M38:N38" si="2">+SUM(M13:M37)</f>
        <v>0</v>
      </c>
      <c r="N38" s="238">
        <f t="shared" si="2"/>
        <v>0</v>
      </c>
      <c r="O38" s="238">
        <f t="shared" si="1"/>
        <v>0</v>
      </c>
      <c r="P38" s="238">
        <f>+SUM(P13:P37)</f>
        <v>0</v>
      </c>
      <c r="Q38" s="238">
        <f t="shared" si="1"/>
        <v>0</v>
      </c>
      <c r="R38" s="238">
        <f t="shared" si="1"/>
        <v>0</v>
      </c>
      <c r="S38" s="238"/>
      <c r="T38" s="243">
        <f>SUM(T13:T37)</f>
        <v>2172900.75</v>
      </c>
      <c r="V38" s="106">
        <v>1605923.87</v>
      </c>
      <c r="W38" s="278">
        <f>SUM(W13:W37)</f>
        <v>1901353.2611792451</v>
      </c>
    </row>
    <row r="39" spans="1:23">
      <c r="C39" s="238"/>
      <c r="D39" s="238"/>
      <c r="E39" s="238"/>
      <c r="F39" s="248">
        <f>SUM(DID!C39)</f>
        <v>0</v>
      </c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44"/>
      <c r="V39" s="106"/>
    </row>
    <row r="40" spans="1:23">
      <c r="A40" s="31" t="s">
        <v>294</v>
      </c>
      <c r="C40" s="238"/>
      <c r="D40" s="238"/>
      <c r="E40" s="238"/>
      <c r="F40" s="248">
        <f>SUM(DID!C40)</f>
        <v>0</v>
      </c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44"/>
      <c r="V40" s="106"/>
    </row>
    <row r="41" spans="1:23" ht="12">
      <c r="A41" s="31" t="s">
        <v>217</v>
      </c>
      <c r="B41" s="31" t="s">
        <v>295</v>
      </c>
      <c r="C41" s="238"/>
      <c r="D41" s="239">
        <f>SUM('AC-SVC'!C41)</f>
        <v>0</v>
      </c>
      <c r="E41" s="239">
        <f>SUM('AC-SVC'!P41)</f>
        <v>0</v>
      </c>
      <c r="F41" s="248">
        <f>SUM(DID!C41)</f>
        <v>0</v>
      </c>
      <c r="G41" s="239">
        <f>SUM(DID!D41)</f>
        <v>0</v>
      </c>
      <c r="H41" s="239">
        <f>SUM(DID!E41)</f>
        <v>0</v>
      </c>
      <c r="I41" s="239">
        <f>SUM(DID!F41)</f>
        <v>0</v>
      </c>
      <c r="J41" s="239">
        <f>SUM(FC!C41)</f>
        <v>0</v>
      </c>
      <c r="K41" s="239">
        <f>SUM(FN!D41)</f>
        <v>0</v>
      </c>
      <c r="L41" s="239">
        <f>SUM(FN!E41)</f>
        <v>0</v>
      </c>
      <c r="M41" s="239">
        <f>SUM(FN!F41)</f>
        <v>0</v>
      </c>
      <c r="N41" s="239">
        <f>SUM(FN!G41)</f>
        <v>0</v>
      </c>
      <c r="O41" s="239">
        <f>SUM(FS!C41)</f>
        <v>0</v>
      </c>
      <c r="P41" s="239">
        <f>SUM(HR!C41)</f>
        <v>0</v>
      </c>
      <c r="Q41" s="239">
        <f>SUM(HR!D41)</f>
        <v>0</v>
      </c>
      <c r="R41" s="239">
        <f>SUM(IT!C41)</f>
        <v>0</v>
      </c>
      <c r="S41" s="238"/>
      <c r="T41" s="240">
        <f t="shared" ref="T41:T48" si="3">SUM(C41:R41)</f>
        <v>0</v>
      </c>
      <c r="V41" s="107"/>
      <c r="W41" s="282">
        <f>SUM(Sheet1!O41)</f>
        <v>0</v>
      </c>
    </row>
    <row r="42" spans="1:23" ht="12">
      <c r="A42" s="31" t="s">
        <v>218</v>
      </c>
      <c r="B42" s="31" t="s">
        <v>219</v>
      </c>
      <c r="C42" s="238"/>
      <c r="D42" s="239">
        <f>SUM('AC-SVC'!C42)</f>
        <v>0</v>
      </c>
      <c r="E42" s="239">
        <f>SUM('AC-SVC'!P42)</f>
        <v>0</v>
      </c>
      <c r="F42" s="248">
        <f>SUM(DID!C42)</f>
        <v>0</v>
      </c>
      <c r="G42" s="239">
        <f>SUM(DID!D42)</f>
        <v>0</v>
      </c>
      <c r="H42" s="239">
        <f>SUM(DID!E42)</f>
        <v>0</v>
      </c>
      <c r="I42" s="239">
        <f>SUM(DID!F42)</f>
        <v>0</v>
      </c>
      <c r="J42" s="239">
        <f>SUM(FC!C42)</f>
        <v>0</v>
      </c>
      <c r="K42" s="239">
        <f>SUM(FN!D42)</f>
        <v>0</v>
      </c>
      <c r="L42" s="239">
        <f>SUM(FN!E42)</f>
        <v>0</v>
      </c>
      <c r="M42" s="239">
        <f>SUM(FN!F42)</f>
        <v>0</v>
      </c>
      <c r="N42" s="239">
        <f>SUM(FN!G42)</f>
        <v>0</v>
      </c>
      <c r="O42" s="239">
        <f>SUM(FS!C42)</f>
        <v>0</v>
      </c>
      <c r="P42" s="239">
        <f>SUM(HR!C42)</f>
        <v>0</v>
      </c>
      <c r="Q42" s="239">
        <f>SUM(HR!D42)</f>
        <v>0</v>
      </c>
      <c r="R42" s="239">
        <f>SUM(IT!C42)</f>
        <v>0</v>
      </c>
      <c r="S42" s="238"/>
      <c r="T42" s="240">
        <f t="shared" si="3"/>
        <v>0</v>
      </c>
      <c r="V42" s="107"/>
      <c r="W42" s="282">
        <f>SUM(Sheet1!O42)</f>
        <v>0</v>
      </c>
    </row>
    <row r="43" spans="1:23" ht="12">
      <c r="A43" s="31" t="s">
        <v>220</v>
      </c>
      <c r="B43" s="31" t="s">
        <v>221</v>
      </c>
      <c r="C43" s="238"/>
      <c r="D43" s="239">
        <f>SUM('AC-SVC'!C43)</f>
        <v>0</v>
      </c>
      <c r="E43" s="239">
        <f>SUM('AC-SVC'!P43)</f>
        <v>0</v>
      </c>
      <c r="F43" s="248">
        <f>SUM(DID!C43)</f>
        <v>0</v>
      </c>
      <c r="G43" s="239">
        <f>SUM(DID!D43)</f>
        <v>0</v>
      </c>
      <c r="H43" s="239">
        <f>SUM(DID!E43)</f>
        <v>0</v>
      </c>
      <c r="I43" s="239">
        <f>SUM(DID!F43)</f>
        <v>0</v>
      </c>
      <c r="J43" s="239">
        <f>SUM(FC!C43)</f>
        <v>0</v>
      </c>
      <c r="K43" s="239">
        <f>SUM(FN!D43)</f>
        <v>0</v>
      </c>
      <c r="L43" s="239">
        <f>SUM(FN!E43)</f>
        <v>0</v>
      </c>
      <c r="M43" s="239">
        <f>SUM(FN!F43)</f>
        <v>0</v>
      </c>
      <c r="N43" s="239">
        <f>SUM(FN!G43)</f>
        <v>0</v>
      </c>
      <c r="O43" s="239">
        <f>SUM(FS!C43)</f>
        <v>0</v>
      </c>
      <c r="P43" s="239">
        <f>SUM(HR!C43)</f>
        <v>0</v>
      </c>
      <c r="Q43" s="239">
        <f>SUM(HR!D43)</f>
        <v>0</v>
      </c>
      <c r="R43" s="239">
        <f>SUM(IT!C43)</f>
        <v>0</v>
      </c>
      <c r="S43" s="238"/>
      <c r="T43" s="240">
        <f t="shared" si="3"/>
        <v>0</v>
      </c>
      <c r="V43" s="107"/>
      <c r="W43" s="282">
        <f>SUM(Sheet1!O43)</f>
        <v>0</v>
      </c>
    </row>
    <row r="44" spans="1:23" ht="12">
      <c r="A44" s="31" t="s">
        <v>222</v>
      </c>
      <c r="B44" s="31" t="s">
        <v>296</v>
      </c>
      <c r="C44" s="238"/>
      <c r="D44" s="239">
        <f>SUM('AC-SVC'!C44)</f>
        <v>0</v>
      </c>
      <c r="E44" s="239">
        <f>SUM('AC-SVC'!P44)</f>
        <v>0</v>
      </c>
      <c r="F44" s="248">
        <f>SUM(DID!C44)</f>
        <v>0</v>
      </c>
      <c r="G44" s="239">
        <f>SUM(DID!D44)</f>
        <v>0</v>
      </c>
      <c r="H44" s="239">
        <f>SUM(DID!E44)</f>
        <v>0</v>
      </c>
      <c r="I44" s="239">
        <f>SUM(DID!F44)</f>
        <v>0</v>
      </c>
      <c r="J44" s="239">
        <f>SUM(FC!C44)</f>
        <v>0</v>
      </c>
      <c r="K44" s="239">
        <f>SUM(FN!D44)</f>
        <v>0</v>
      </c>
      <c r="L44" s="239">
        <f>SUM(FN!E44)</f>
        <v>0</v>
      </c>
      <c r="M44" s="239">
        <f>SUM(FN!F44)</f>
        <v>0</v>
      </c>
      <c r="N44" s="239">
        <f>SUM(FN!G44)</f>
        <v>0</v>
      </c>
      <c r="O44" s="239">
        <f>SUM(FS!C44)</f>
        <v>0</v>
      </c>
      <c r="P44" s="239">
        <f>SUM(HR!C44)</f>
        <v>0</v>
      </c>
      <c r="Q44" s="239">
        <f>SUM(HR!D44)</f>
        <v>0</v>
      </c>
      <c r="R44" s="239">
        <f>SUM(IT!C44)</f>
        <v>0</v>
      </c>
      <c r="S44" s="238"/>
      <c r="T44" s="240">
        <f t="shared" si="3"/>
        <v>0</v>
      </c>
      <c r="V44" s="107">
        <v>1320.46</v>
      </c>
      <c r="W44" s="282">
        <f>SUM(Sheet1!O44)</f>
        <v>1563.3748113207546</v>
      </c>
    </row>
    <row r="45" spans="1:23" ht="12">
      <c r="A45" s="31" t="s">
        <v>223</v>
      </c>
      <c r="B45" s="31" t="s">
        <v>224</v>
      </c>
      <c r="C45" s="238"/>
      <c r="D45" s="239">
        <f>SUM('AC-SVC'!C45)</f>
        <v>0</v>
      </c>
      <c r="E45" s="239">
        <f>SUM('AC-SVC'!P45)</f>
        <v>0</v>
      </c>
      <c r="F45" s="248">
        <f>SUM(DID!C45)</f>
        <v>0</v>
      </c>
      <c r="G45" s="239">
        <f>SUM(DID!D45)</f>
        <v>0</v>
      </c>
      <c r="H45" s="239">
        <f>SUM(DID!E45)</f>
        <v>0</v>
      </c>
      <c r="I45" s="239">
        <f>SUM(DID!F45)</f>
        <v>0</v>
      </c>
      <c r="J45" s="239">
        <f>SUM(FC!C45)</f>
        <v>0</v>
      </c>
      <c r="K45" s="239">
        <f>SUM(FN!D45)</f>
        <v>0</v>
      </c>
      <c r="L45" s="239">
        <f>SUM(FN!E45)</f>
        <v>0</v>
      </c>
      <c r="M45" s="239">
        <f>SUM(FN!F45)</f>
        <v>0</v>
      </c>
      <c r="N45" s="239">
        <f>SUM(FN!G45)</f>
        <v>0</v>
      </c>
      <c r="O45" s="239">
        <f>SUM(FS!C45)</f>
        <v>0</v>
      </c>
      <c r="P45" s="239">
        <f>SUM(HR!C45)</f>
        <v>0</v>
      </c>
      <c r="Q45" s="239">
        <f>SUM(HR!D45)</f>
        <v>0</v>
      </c>
      <c r="R45" s="239">
        <f>SUM(IT!C45)</f>
        <v>0</v>
      </c>
      <c r="S45" s="238"/>
      <c r="T45" s="240">
        <f t="shared" si="3"/>
        <v>0</v>
      </c>
      <c r="V45" s="107"/>
      <c r="W45" s="282">
        <f>SUM(Sheet1!O45)</f>
        <v>0</v>
      </c>
    </row>
    <row r="46" spans="1:23" ht="12">
      <c r="A46" s="31" t="s">
        <v>225</v>
      </c>
      <c r="B46" s="31" t="s">
        <v>226</v>
      </c>
      <c r="C46" s="238"/>
      <c r="D46" s="239">
        <f>SUM('AC-SVC'!C46)</f>
        <v>0</v>
      </c>
      <c r="E46" s="239">
        <f>SUM('AC-SVC'!P46)</f>
        <v>0</v>
      </c>
      <c r="F46" s="248">
        <f>SUM(DID!C46)</f>
        <v>0</v>
      </c>
      <c r="G46" s="239">
        <f>SUM(DID!D46)</f>
        <v>0</v>
      </c>
      <c r="H46" s="239">
        <f>SUM(DID!E46)</f>
        <v>0</v>
      </c>
      <c r="I46" s="239">
        <f>SUM(DID!F46)</f>
        <v>0</v>
      </c>
      <c r="J46" s="239">
        <f>SUM(FC!C46)</f>
        <v>0</v>
      </c>
      <c r="K46" s="239">
        <f>SUM(FN!D46)</f>
        <v>0</v>
      </c>
      <c r="L46" s="239">
        <f>SUM(FN!E46)</f>
        <v>0</v>
      </c>
      <c r="M46" s="239">
        <f>SUM(FN!F46)</f>
        <v>0</v>
      </c>
      <c r="N46" s="239">
        <f>SUM(FN!G46)</f>
        <v>0</v>
      </c>
      <c r="O46" s="239">
        <f>SUM(FS!C46)</f>
        <v>0</v>
      </c>
      <c r="P46" s="239">
        <f>SUM(HR!C46)</f>
        <v>0</v>
      </c>
      <c r="Q46" s="239">
        <f>SUM(HR!D46)</f>
        <v>0</v>
      </c>
      <c r="R46" s="239">
        <f>SUM(IT!C46)</f>
        <v>0</v>
      </c>
      <c r="S46" s="238"/>
      <c r="T46" s="240">
        <f t="shared" si="3"/>
        <v>0</v>
      </c>
      <c r="V46" s="107"/>
      <c r="W46" s="282">
        <f>SUM(Sheet1!O46)</f>
        <v>0</v>
      </c>
    </row>
    <row r="47" spans="1:23" ht="12">
      <c r="A47" s="31" t="s">
        <v>227</v>
      </c>
      <c r="B47" s="31" t="s">
        <v>297</v>
      </c>
      <c r="C47" s="238"/>
      <c r="D47" s="239">
        <f>SUM('AC-SVC'!C47)</f>
        <v>0</v>
      </c>
      <c r="E47" s="239">
        <f>SUM('AC-SVC'!P47)</f>
        <v>0</v>
      </c>
      <c r="F47" s="248">
        <f>SUM(DID!C47)</f>
        <v>0</v>
      </c>
      <c r="G47" s="239">
        <f>SUM(DID!D47)</f>
        <v>0</v>
      </c>
      <c r="H47" s="239">
        <f>SUM(DID!E47)</f>
        <v>0</v>
      </c>
      <c r="I47" s="239">
        <f>SUM(DID!F47)</f>
        <v>0</v>
      </c>
      <c r="J47" s="239">
        <f>SUM(FC!C47)</f>
        <v>0</v>
      </c>
      <c r="K47" s="239">
        <f>SUM(FN!D47)</f>
        <v>0</v>
      </c>
      <c r="L47" s="239">
        <f>SUM(FN!E47)</f>
        <v>0</v>
      </c>
      <c r="M47" s="239">
        <f>SUM(FN!F47)</f>
        <v>0</v>
      </c>
      <c r="N47" s="239">
        <f>SUM(FN!G47)</f>
        <v>0</v>
      </c>
      <c r="O47" s="239">
        <f>SUM(FS!C47)</f>
        <v>0</v>
      </c>
      <c r="P47" s="239">
        <f>SUM(HR!C47)</f>
        <v>0</v>
      </c>
      <c r="Q47" s="239">
        <f>SUM(HR!D47)</f>
        <v>0</v>
      </c>
      <c r="R47" s="239">
        <f>SUM(IT!C47)</f>
        <v>0</v>
      </c>
      <c r="S47" s="238"/>
      <c r="T47" s="240">
        <f t="shared" si="3"/>
        <v>0</v>
      </c>
      <c r="V47" s="107"/>
      <c r="W47" s="282">
        <f>SUM(Sheet1!O47)</f>
        <v>0</v>
      </c>
    </row>
    <row r="48" spans="1:23" ht="12">
      <c r="A48" s="31" t="s">
        <v>228</v>
      </c>
      <c r="B48" s="31" t="s">
        <v>298</v>
      </c>
      <c r="C48" s="241"/>
      <c r="D48" s="241">
        <f>SUM('AC-SVC'!C48)</f>
        <v>0</v>
      </c>
      <c r="E48" s="241">
        <f>SUM('AC-SVC'!P48)</f>
        <v>0</v>
      </c>
      <c r="F48" s="249">
        <f>SUM(DID!C48)</f>
        <v>0</v>
      </c>
      <c r="G48" s="241">
        <f>SUM(DID!D48)</f>
        <v>0</v>
      </c>
      <c r="H48" s="241">
        <f>SUM(DID!E48)</f>
        <v>0</v>
      </c>
      <c r="I48" s="241">
        <f>SUM(DID!F48)</f>
        <v>0</v>
      </c>
      <c r="J48" s="241">
        <f>SUM(FC!C48)</f>
        <v>0</v>
      </c>
      <c r="K48" s="241">
        <f>SUM(FN!D48)</f>
        <v>0</v>
      </c>
      <c r="L48" s="241">
        <f>SUM(FN!E48)</f>
        <v>0</v>
      </c>
      <c r="M48" s="241">
        <f>SUM(FN!F48)</f>
        <v>0</v>
      </c>
      <c r="N48" s="241">
        <f>SUM(FN!G48)</f>
        <v>0</v>
      </c>
      <c r="O48" s="241">
        <f>SUM(FS!C48)</f>
        <v>0</v>
      </c>
      <c r="P48" s="241">
        <f>SUM(HR!C48)</f>
        <v>0</v>
      </c>
      <c r="Q48" s="241">
        <f>SUM(HR!D48)</f>
        <v>0</v>
      </c>
      <c r="R48" s="241">
        <f>SUM(IT!C48)</f>
        <v>0</v>
      </c>
      <c r="S48" s="238"/>
      <c r="T48" s="242">
        <f t="shared" si="3"/>
        <v>0</v>
      </c>
      <c r="V48" s="108"/>
      <c r="W48" s="283">
        <f>SUM(Sheet1!O48)</f>
        <v>0</v>
      </c>
    </row>
    <row r="49" spans="1:23" ht="10">
      <c r="B49" s="31" t="s">
        <v>299</v>
      </c>
      <c r="C49" s="238">
        <f>+SUM(C41:C48)</f>
        <v>0</v>
      </c>
      <c r="D49" s="238">
        <f>+SUM(D41:D48)</f>
        <v>0</v>
      </c>
      <c r="E49" s="238">
        <f>+SUM(E41:E48)</f>
        <v>0</v>
      </c>
      <c r="F49" s="248">
        <f>SUM(DID!C49)</f>
        <v>0</v>
      </c>
      <c r="G49" s="238">
        <f t="shared" ref="G49:R49" si="4">+SUM(G41:G48)</f>
        <v>0</v>
      </c>
      <c r="H49" s="238">
        <f t="shared" si="4"/>
        <v>0</v>
      </c>
      <c r="I49" s="238">
        <f t="shared" ref="I49" si="5">+SUM(I41:I48)</f>
        <v>0</v>
      </c>
      <c r="J49" s="238">
        <f t="shared" si="4"/>
        <v>0</v>
      </c>
      <c r="K49" s="238">
        <f t="shared" si="4"/>
        <v>0</v>
      </c>
      <c r="L49" s="238">
        <f t="shared" si="4"/>
        <v>0</v>
      </c>
      <c r="M49" s="238">
        <f t="shared" si="4"/>
        <v>0</v>
      </c>
      <c r="N49" s="238">
        <f t="shared" si="4"/>
        <v>0</v>
      </c>
      <c r="O49" s="238">
        <f t="shared" si="4"/>
        <v>0</v>
      </c>
      <c r="P49" s="238">
        <f>+SUM(P41:P48)</f>
        <v>0</v>
      </c>
      <c r="Q49" s="238">
        <f t="shared" si="4"/>
        <v>0</v>
      </c>
      <c r="R49" s="238">
        <f t="shared" si="4"/>
        <v>0</v>
      </c>
      <c r="S49" s="238"/>
      <c r="T49" s="244">
        <f>SUM(T41:T48)</f>
        <v>0</v>
      </c>
      <c r="V49" s="106">
        <v>1320.46</v>
      </c>
      <c r="W49" s="278">
        <f>SUM(W41:W48)</f>
        <v>1563.3748113207546</v>
      </c>
    </row>
    <row r="50" spans="1:23">
      <c r="C50" s="238"/>
      <c r="D50" s="238"/>
      <c r="E50" s="238"/>
      <c r="F50" s="248">
        <f>SUM(DID!C50)</f>
        <v>0</v>
      </c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44"/>
      <c r="V50" s="106"/>
    </row>
    <row r="51" spans="1:23">
      <c r="A51" s="31" t="s">
        <v>300</v>
      </c>
      <c r="C51" s="238"/>
      <c r="D51" s="238"/>
      <c r="E51" s="238"/>
      <c r="F51" s="248">
        <f>SUM(DID!C51)</f>
        <v>0</v>
      </c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44"/>
      <c r="V51" s="106"/>
    </row>
    <row r="52" spans="1:23">
      <c r="A52" s="31" t="s">
        <v>301</v>
      </c>
      <c r="C52" s="238"/>
      <c r="D52" s="238"/>
      <c r="E52" s="238"/>
      <c r="F52" s="248">
        <f>SUM(DID!C52)</f>
        <v>0</v>
      </c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44"/>
      <c r="V52" s="106"/>
    </row>
    <row r="53" spans="1:23" ht="12">
      <c r="A53" s="31" t="s">
        <v>229</v>
      </c>
      <c r="B53" s="31" t="s">
        <v>389</v>
      </c>
      <c r="C53" s="238"/>
      <c r="D53" s="239">
        <f>SUM('AC-SVC'!C53)</f>
        <v>0</v>
      </c>
      <c r="E53" s="239">
        <f>SUM('AC-SVC'!P53)</f>
        <v>0</v>
      </c>
      <c r="F53" s="248">
        <f>SUM(DID!C53)</f>
        <v>0</v>
      </c>
      <c r="G53" s="239">
        <f>SUM(DID!D53)</f>
        <v>0</v>
      </c>
      <c r="H53" s="239">
        <f>SUM(DID!E53)</f>
        <v>0</v>
      </c>
      <c r="I53" s="239">
        <f>SUM(DID!F53)</f>
        <v>0</v>
      </c>
      <c r="J53" s="239">
        <f>SUM(FC!C53)</f>
        <v>0</v>
      </c>
      <c r="K53" s="239">
        <f>SUM(FN!D53)</f>
        <v>0</v>
      </c>
      <c r="L53" s="239">
        <f>SUM(FN!E53)</f>
        <v>0</v>
      </c>
      <c r="M53" s="239">
        <f>SUM(FN!F53)</f>
        <v>0</v>
      </c>
      <c r="N53" s="239">
        <f>SUM(FN!G53)</f>
        <v>0</v>
      </c>
      <c r="O53" s="239">
        <f>SUM(FS!C53)</f>
        <v>0</v>
      </c>
      <c r="P53" s="239">
        <f>SUM(HR!C53)</f>
        <v>0</v>
      </c>
      <c r="Q53" s="239">
        <f>SUM(HR!D53)</f>
        <v>0</v>
      </c>
      <c r="R53" s="239">
        <f>SUM(IT!C53)</f>
        <v>0</v>
      </c>
      <c r="S53" s="238"/>
      <c r="T53" s="240">
        <f t="shared" ref="T53:T65" si="6">SUM(C53:R53)</f>
        <v>0</v>
      </c>
      <c r="V53" s="107"/>
      <c r="W53" s="282">
        <f>SUM(Sheet1!O53)</f>
        <v>0</v>
      </c>
    </row>
    <row r="54" spans="1:23" ht="12">
      <c r="A54" s="31" t="s">
        <v>230</v>
      </c>
      <c r="B54" s="31" t="s">
        <v>390</v>
      </c>
      <c r="C54" s="238"/>
      <c r="D54" s="239">
        <f>SUM('AC-SVC'!C54)</f>
        <v>0</v>
      </c>
      <c r="E54" s="239">
        <f>SUM('AC-SVC'!P54)</f>
        <v>0</v>
      </c>
      <c r="F54" s="248">
        <f>SUM(DID!C54)</f>
        <v>0</v>
      </c>
      <c r="G54" s="239">
        <f>SUM(DID!D54)</f>
        <v>0</v>
      </c>
      <c r="H54" s="239">
        <f>SUM(DID!E54)</f>
        <v>0</v>
      </c>
      <c r="I54" s="239">
        <f>SUM(DID!F54)</f>
        <v>0</v>
      </c>
      <c r="J54" s="239">
        <f>SUM(FC!C54)</f>
        <v>0</v>
      </c>
      <c r="K54" s="239">
        <f>SUM(FN!D54)</f>
        <v>0</v>
      </c>
      <c r="L54" s="239">
        <f>SUM(FN!E54)</f>
        <v>0</v>
      </c>
      <c r="M54" s="239">
        <f>SUM(FN!F54)</f>
        <v>0</v>
      </c>
      <c r="N54" s="239">
        <f>SUM(FN!G54)</f>
        <v>0</v>
      </c>
      <c r="O54" s="239">
        <f>SUM(FS!C54)</f>
        <v>0</v>
      </c>
      <c r="P54" s="239">
        <f>SUM(HR!C54)</f>
        <v>0</v>
      </c>
      <c r="Q54" s="239">
        <f>SUM(HR!D54)</f>
        <v>0</v>
      </c>
      <c r="R54" s="239">
        <f>SUM(IT!C54)</f>
        <v>0</v>
      </c>
      <c r="S54" s="238"/>
      <c r="T54" s="240">
        <f t="shared" si="6"/>
        <v>0</v>
      </c>
      <c r="V54" s="107"/>
      <c r="W54" s="282">
        <f>SUM(Sheet1!O54)</f>
        <v>0</v>
      </c>
    </row>
    <row r="55" spans="1:23" ht="12">
      <c r="A55" s="31" t="s">
        <v>231</v>
      </c>
      <c r="B55" s="31" t="s">
        <v>391</v>
      </c>
      <c r="C55" s="238"/>
      <c r="D55" s="239">
        <f>SUM('AC-SVC'!C55)</f>
        <v>0</v>
      </c>
      <c r="E55" s="239">
        <f>SUM('AC-SVC'!P55)</f>
        <v>0</v>
      </c>
      <c r="F55" s="248">
        <f>SUM(DID!C55)</f>
        <v>0</v>
      </c>
      <c r="G55" s="239">
        <f>SUM(DID!D55)</f>
        <v>0</v>
      </c>
      <c r="H55" s="239">
        <f>SUM(DID!E55)</f>
        <v>0</v>
      </c>
      <c r="I55" s="239">
        <f>SUM(DID!F55)</f>
        <v>0</v>
      </c>
      <c r="J55" s="239">
        <f>SUM(FC!C55)</f>
        <v>0</v>
      </c>
      <c r="K55" s="239">
        <f>SUM(FN!D55)</f>
        <v>0</v>
      </c>
      <c r="L55" s="239">
        <f>SUM(FN!E55)</f>
        <v>0</v>
      </c>
      <c r="M55" s="239">
        <f>SUM(FN!F55)</f>
        <v>0</v>
      </c>
      <c r="N55" s="239">
        <f>SUM(FN!G55)</f>
        <v>0</v>
      </c>
      <c r="O55" s="239">
        <f>SUM(FS!C55)</f>
        <v>0</v>
      </c>
      <c r="P55" s="239">
        <f>SUM(HR!C55)</f>
        <v>0</v>
      </c>
      <c r="Q55" s="239">
        <f>SUM(HR!D55)</f>
        <v>0</v>
      </c>
      <c r="R55" s="239">
        <f>SUM(IT!C55)</f>
        <v>0</v>
      </c>
      <c r="S55" s="238"/>
      <c r="T55" s="240">
        <f t="shared" si="6"/>
        <v>0</v>
      </c>
      <c r="V55" s="107"/>
      <c r="W55" s="282">
        <f>SUM(Sheet1!O55)</f>
        <v>0</v>
      </c>
    </row>
    <row r="56" spans="1:23" ht="12">
      <c r="A56" s="31" t="s">
        <v>232</v>
      </c>
      <c r="B56" s="31" t="s">
        <v>302</v>
      </c>
      <c r="C56" s="238"/>
      <c r="D56" s="239">
        <f>SUM('AC-SVC'!C56)</f>
        <v>0</v>
      </c>
      <c r="E56" s="239">
        <f>SUM('AC-SVC'!P56)</f>
        <v>0</v>
      </c>
      <c r="F56" s="248">
        <f>SUM(DID!C56)</f>
        <v>0</v>
      </c>
      <c r="G56" s="239">
        <f>SUM(DID!D56)</f>
        <v>0</v>
      </c>
      <c r="H56" s="239">
        <f>SUM(DID!E56)</f>
        <v>0</v>
      </c>
      <c r="I56" s="239">
        <f>SUM(DID!F56)</f>
        <v>0</v>
      </c>
      <c r="J56" s="239">
        <f>SUM(FC!C56)</f>
        <v>0</v>
      </c>
      <c r="K56" s="239">
        <f>SUM(FN!D56)</f>
        <v>0</v>
      </c>
      <c r="L56" s="239">
        <f>SUM(FN!E56)</f>
        <v>0</v>
      </c>
      <c r="M56" s="239">
        <f>SUM(FN!F56)</f>
        <v>0</v>
      </c>
      <c r="N56" s="239">
        <f>SUM(FN!G56)</f>
        <v>0</v>
      </c>
      <c r="O56" s="239">
        <f>SUM(FS!C56)</f>
        <v>0</v>
      </c>
      <c r="P56" s="239">
        <f>SUM(HR!C56)</f>
        <v>0</v>
      </c>
      <c r="Q56" s="239">
        <f>SUM(HR!D56)</f>
        <v>0</v>
      </c>
      <c r="R56" s="239">
        <f>SUM(IT!C56)</f>
        <v>0</v>
      </c>
      <c r="S56" s="238"/>
      <c r="T56" s="240">
        <f t="shared" si="6"/>
        <v>0</v>
      </c>
      <c r="V56" s="107"/>
      <c r="W56" s="282">
        <f>SUM(Sheet1!O56)</f>
        <v>0</v>
      </c>
    </row>
    <row r="57" spans="1:23" ht="12">
      <c r="A57" s="31" t="s">
        <v>233</v>
      </c>
      <c r="B57" s="31" t="s">
        <v>303</v>
      </c>
      <c r="C57" s="238"/>
      <c r="D57" s="239">
        <f>SUM('AC-SVC'!C57)</f>
        <v>0</v>
      </c>
      <c r="E57" s="239">
        <f>SUM('AC-SVC'!P57)</f>
        <v>0</v>
      </c>
      <c r="F57" s="248">
        <f>SUM(DID!C57)</f>
        <v>0</v>
      </c>
      <c r="G57" s="239">
        <f>SUM(DID!D57)</f>
        <v>0</v>
      </c>
      <c r="H57" s="239">
        <f>SUM(DID!E57)</f>
        <v>0</v>
      </c>
      <c r="I57" s="239">
        <f>SUM(DID!F57)</f>
        <v>0</v>
      </c>
      <c r="J57" s="239">
        <f>SUM(FC!C57)</f>
        <v>0</v>
      </c>
      <c r="K57" s="239">
        <f>SUM(FN!D57)</f>
        <v>0</v>
      </c>
      <c r="L57" s="239">
        <f>SUM(FN!E57)</f>
        <v>0</v>
      </c>
      <c r="M57" s="239">
        <f>SUM(FN!F57)</f>
        <v>0</v>
      </c>
      <c r="N57" s="239">
        <f>SUM(FN!G57)</f>
        <v>0</v>
      </c>
      <c r="O57" s="239">
        <f>SUM(FS!C57)</f>
        <v>0</v>
      </c>
      <c r="P57" s="239">
        <f>SUM(HR!C57)</f>
        <v>0</v>
      </c>
      <c r="Q57" s="239">
        <f>SUM(HR!D57)</f>
        <v>0</v>
      </c>
      <c r="R57" s="239">
        <f>SUM(IT!C57)</f>
        <v>0</v>
      </c>
      <c r="S57" s="238"/>
      <c r="T57" s="240">
        <f t="shared" si="6"/>
        <v>0</v>
      </c>
      <c r="V57" s="107"/>
      <c r="W57" s="282">
        <f>SUM(Sheet1!O57)</f>
        <v>0</v>
      </c>
    </row>
    <row r="58" spans="1:23" ht="12">
      <c r="A58" s="31" t="s">
        <v>0</v>
      </c>
      <c r="B58" s="31" t="s">
        <v>304</v>
      </c>
      <c r="C58" s="238"/>
      <c r="D58" s="239">
        <f>SUM('AC-SVC'!C58)</f>
        <v>0</v>
      </c>
      <c r="E58" s="239">
        <f>SUM('AC-SVC'!P58)</f>
        <v>0</v>
      </c>
      <c r="F58" s="248">
        <f>SUM(DID!C58)</f>
        <v>0</v>
      </c>
      <c r="G58" s="239">
        <f>SUM(DID!D58)</f>
        <v>0</v>
      </c>
      <c r="H58" s="239">
        <f>SUM(DID!E58)</f>
        <v>0</v>
      </c>
      <c r="I58" s="239">
        <f>SUM(DID!F58)</f>
        <v>0</v>
      </c>
      <c r="J58" s="239">
        <f>SUM(FC!C58)</f>
        <v>0</v>
      </c>
      <c r="K58" s="239">
        <f>SUM(FN!D58)</f>
        <v>0</v>
      </c>
      <c r="L58" s="239">
        <f>SUM(FN!E58)</f>
        <v>0</v>
      </c>
      <c r="M58" s="239">
        <f>SUM(FN!F58)</f>
        <v>0</v>
      </c>
      <c r="N58" s="239">
        <f>SUM(FN!G58)</f>
        <v>0</v>
      </c>
      <c r="O58" s="239">
        <f>SUM(FS!C58)</f>
        <v>0</v>
      </c>
      <c r="P58" s="239">
        <f>SUM(HR!C58)</f>
        <v>0</v>
      </c>
      <c r="Q58" s="239">
        <f>SUM(HR!D58)</f>
        <v>0</v>
      </c>
      <c r="R58" s="239">
        <f>SUM(IT!C58)</f>
        <v>11513</v>
      </c>
      <c r="S58" s="238"/>
      <c r="T58" s="240">
        <f t="shared" si="6"/>
        <v>11513</v>
      </c>
      <c r="V58" s="107">
        <v>20106</v>
      </c>
      <c r="W58" s="282">
        <f>SUM(Sheet1!O58)</f>
        <v>23804.745283018867</v>
      </c>
    </row>
    <row r="59" spans="1:23" ht="12">
      <c r="A59" s="31" t="s">
        <v>1</v>
      </c>
      <c r="B59" s="31" t="s">
        <v>305</v>
      </c>
      <c r="C59" s="238"/>
      <c r="D59" s="239">
        <f>SUM('AC-SVC'!C59)</f>
        <v>0</v>
      </c>
      <c r="E59" s="239">
        <f>SUM('AC-SVC'!P59)</f>
        <v>0</v>
      </c>
      <c r="F59" s="248">
        <f>SUM(DID!C59)</f>
        <v>0</v>
      </c>
      <c r="G59" s="239">
        <f>SUM(DID!D59)</f>
        <v>0</v>
      </c>
      <c r="H59" s="239">
        <f>SUM(DID!E59)</f>
        <v>0</v>
      </c>
      <c r="I59" s="239">
        <f>SUM(DID!F59)</f>
        <v>0</v>
      </c>
      <c r="J59" s="239">
        <f>SUM(FC!C59)</f>
        <v>0</v>
      </c>
      <c r="K59" s="239">
        <f>SUM(FN!D59)</f>
        <v>0</v>
      </c>
      <c r="L59" s="239">
        <f>SUM(FN!E59)</f>
        <v>0</v>
      </c>
      <c r="M59" s="239">
        <f>SUM(FN!F59)</f>
        <v>0</v>
      </c>
      <c r="N59" s="239">
        <f>SUM(FN!G59)</f>
        <v>0</v>
      </c>
      <c r="O59" s="239">
        <f>SUM(FS!C59)</f>
        <v>0</v>
      </c>
      <c r="P59" s="239">
        <f>SUM(HR!C59)</f>
        <v>0</v>
      </c>
      <c r="Q59" s="239">
        <f>SUM(HR!D59)</f>
        <v>0</v>
      </c>
      <c r="R59" s="239">
        <f>SUM(IT!C59)</f>
        <v>0</v>
      </c>
      <c r="S59" s="238"/>
      <c r="T59" s="240">
        <f t="shared" si="6"/>
        <v>0</v>
      </c>
      <c r="V59" s="107"/>
      <c r="W59" s="282">
        <f>SUM(Sheet1!O59)</f>
        <v>0</v>
      </c>
    </row>
    <row r="60" spans="1:23" ht="12">
      <c r="A60" s="31" t="s">
        <v>3</v>
      </c>
      <c r="B60" s="31" t="s">
        <v>2</v>
      </c>
      <c r="C60" s="238"/>
      <c r="D60" s="239">
        <f>SUM('AC-SVC'!C60)</f>
        <v>0</v>
      </c>
      <c r="E60" s="239">
        <f>SUM('AC-SVC'!P60)</f>
        <v>0</v>
      </c>
      <c r="F60" s="248">
        <f>SUM(DID!C60)</f>
        <v>0</v>
      </c>
      <c r="G60" s="239">
        <f>SUM(DID!D60)</f>
        <v>0</v>
      </c>
      <c r="H60" s="239">
        <f>SUM(DID!E60)</f>
        <v>0</v>
      </c>
      <c r="I60" s="239">
        <f>SUM(DID!F60)</f>
        <v>0</v>
      </c>
      <c r="J60" s="239">
        <f>SUM(FC!C60)</f>
        <v>0</v>
      </c>
      <c r="K60" s="239">
        <f>SUM(FN!D60)</f>
        <v>0</v>
      </c>
      <c r="L60" s="239">
        <f>SUM(FN!E60)</f>
        <v>0</v>
      </c>
      <c r="M60" s="239">
        <f>SUM(FN!F60)</f>
        <v>0</v>
      </c>
      <c r="N60" s="239">
        <f>SUM(FN!G60)</f>
        <v>0</v>
      </c>
      <c r="O60" s="239">
        <f>SUM(FS!C60)</f>
        <v>0</v>
      </c>
      <c r="P60" s="239">
        <f>SUM(HR!C60)</f>
        <v>0</v>
      </c>
      <c r="Q60" s="239">
        <f>SUM(HR!D60)</f>
        <v>0</v>
      </c>
      <c r="R60" s="239">
        <f>SUM(IT!C60)</f>
        <v>0</v>
      </c>
      <c r="S60" s="238"/>
      <c r="T60" s="240">
        <f t="shared" si="6"/>
        <v>0</v>
      </c>
      <c r="V60" s="107"/>
      <c r="W60" s="282">
        <f>SUM(Sheet1!O60)</f>
        <v>0</v>
      </c>
    </row>
    <row r="61" spans="1:23" ht="12">
      <c r="A61" s="31" t="s">
        <v>4</v>
      </c>
      <c r="B61" s="31" t="s">
        <v>5</v>
      </c>
      <c r="C61" s="238"/>
      <c r="D61" s="239">
        <f>SUM('AC-SVC'!C61)</f>
        <v>0</v>
      </c>
      <c r="E61" s="239">
        <f>SUM('AC-SVC'!P61)</f>
        <v>0</v>
      </c>
      <c r="F61" s="248">
        <f>SUM(DID!C61)</f>
        <v>0</v>
      </c>
      <c r="G61" s="239">
        <f>SUM(DID!D61)</f>
        <v>0</v>
      </c>
      <c r="H61" s="239">
        <f>SUM(DID!E61)</f>
        <v>0</v>
      </c>
      <c r="I61" s="239">
        <f>SUM(DID!F61)</f>
        <v>0</v>
      </c>
      <c r="J61" s="239">
        <f>SUM(FC!C61)</f>
        <v>0</v>
      </c>
      <c r="K61" s="239">
        <f>SUM(FN!D61)</f>
        <v>0</v>
      </c>
      <c r="L61" s="239">
        <f>SUM(FN!E61)</f>
        <v>0</v>
      </c>
      <c r="M61" s="239">
        <f>SUM(FN!F61)</f>
        <v>0</v>
      </c>
      <c r="N61" s="239">
        <f>SUM(FN!G61)</f>
        <v>0</v>
      </c>
      <c r="O61" s="239">
        <f>SUM(FS!C61)</f>
        <v>0</v>
      </c>
      <c r="P61" s="239">
        <f>SUM(HR!C61)</f>
        <v>0</v>
      </c>
      <c r="Q61" s="239">
        <f>SUM(HR!D61)</f>
        <v>0</v>
      </c>
      <c r="R61" s="239">
        <f>SUM(IT!C61)</f>
        <v>0</v>
      </c>
      <c r="S61" s="238"/>
      <c r="T61" s="240">
        <f t="shared" si="6"/>
        <v>0</v>
      </c>
      <c r="V61" s="107"/>
      <c r="W61" s="282">
        <f>SUM(Sheet1!O61)</f>
        <v>0</v>
      </c>
    </row>
    <row r="62" spans="1:23" ht="12">
      <c r="A62" s="31" t="s">
        <v>6</v>
      </c>
      <c r="B62" s="31" t="s">
        <v>7</v>
      </c>
      <c r="C62" s="238"/>
      <c r="D62" s="239">
        <f>SUM('AC-SVC'!C62)</f>
        <v>0</v>
      </c>
      <c r="E62" s="239">
        <f>SUM('AC-SVC'!P62)</f>
        <v>0</v>
      </c>
      <c r="F62" s="248">
        <f>SUM(DID!C62)</f>
        <v>0</v>
      </c>
      <c r="G62" s="239">
        <f>SUM(DID!D62)</f>
        <v>0</v>
      </c>
      <c r="H62" s="239">
        <f>SUM(DID!E62)</f>
        <v>0</v>
      </c>
      <c r="I62" s="239">
        <f>SUM(DID!F62)</f>
        <v>0</v>
      </c>
      <c r="J62" s="239">
        <f>SUM(FC!C62)</f>
        <v>0</v>
      </c>
      <c r="K62" s="239">
        <f>SUM(FN!D62)</f>
        <v>0</v>
      </c>
      <c r="L62" s="239">
        <f>SUM(FN!E62)</f>
        <v>0</v>
      </c>
      <c r="M62" s="239">
        <f>SUM(FN!F62)</f>
        <v>0</v>
      </c>
      <c r="N62" s="239">
        <f>SUM(FN!G62)</f>
        <v>0</v>
      </c>
      <c r="O62" s="239">
        <f>SUM(FS!C62)</f>
        <v>0</v>
      </c>
      <c r="P62" s="239">
        <f>SUM(HR!C62)</f>
        <v>0</v>
      </c>
      <c r="Q62" s="239">
        <f>SUM(HR!D62)</f>
        <v>0</v>
      </c>
      <c r="R62" s="239">
        <f>SUM(IT!C62)</f>
        <v>0</v>
      </c>
      <c r="S62" s="238"/>
      <c r="T62" s="240">
        <f t="shared" si="6"/>
        <v>0</v>
      </c>
      <c r="V62" s="107"/>
      <c r="W62" s="282">
        <f>SUM(Sheet1!O62)</f>
        <v>0</v>
      </c>
    </row>
    <row r="63" spans="1:23" ht="12">
      <c r="A63" s="31" t="s">
        <v>8</v>
      </c>
      <c r="B63" s="31" t="s">
        <v>9</v>
      </c>
      <c r="C63" s="238"/>
      <c r="D63" s="239">
        <f>SUM('AC-SVC'!C63)</f>
        <v>0</v>
      </c>
      <c r="E63" s="239">
        <f>SUM('AC-SVC'!P63)</f>
        <v>0</v>
      </c>
      <c r="F63" s="248">
        <f>SUM(DID!C63)</f>
        <v>16000</v>
      </c>
      <c r="G63" s="239">
        <f>SUM(DID!D63)</f>
        <v>0</v>
      </c>
      <c r="H63" s="239">
        <f>SUM(DID!E63)</f>
        <v>0</v>
      </c>
      <c r="I63" s="239">
        <f>SUM(DID!F63)</f>
        <v>0</v>
      </c>
      <c r="J63" s="239">
        <f>SUM(FC!C63)</f>
        <v>0</v>
      </c>
      <c r="K63" s="239">
        <f>SUM(FN!D63)</f>
        <v>0</v>
      </c>
      <c r="L63" s="239">
        <f>SUM(FN!E63)</f>
        <v>0</v>
      </c>
      <c r="M63" s="239">
        <f>SUM(FN!F63)</f>
        <v>0</v>
      </c>
      <c r="N63" s="239">
        <f>SUM(FN!G63)</f>
        <v>0</v>
      </c>
      <c r="O63" s="239">
        <f>SUM(FS!C63)</f>
        <v>0</v>
      </c>
      <c r="P63" s="239">
        <f>SUM(HR!C63)</f>
        <v>0</v>
      </c>
      <c r="Q63" s="239">
        <f>SUM(HR!D63)</f>
        <v>0</v>
      </c>
      <c r="R63" s="239">
        <f>SUM(IT!C63)</f>
        <v>0</v>
      </c>
      <c r="S63" s="238"/>
      <c r="T63" s="240">
        <f t="shared" si="6"/>
        <v>16000</v>
      </c>
      <c r="V63" s="107"/>
      <c r="W63" s="282">
        <f>SUM(Sheet1!O63)</f>
        <v>0</v>
      </c>
    </row>
    <row r="64" spans="1:23" ht="12">
      <c r="A64" s="31" t="s">
        <v>11</v>
      </c>
      <c r="B64" s="31" t="s">
        <v>307</v>
      </c>
      <c r="C64" s="238"/>
      <c r="D64" s="239">
        <f>SUM('AC-SVC'!C64)</f>
        <v>0</v>
      </c>
      <c r="E64" s="239">
        <f>SUM('AC-SVC'!P64)</f>
        <v>0</v>
      </c>
      <c r="F64" s="248">
        <f>SUM(DID!C64)</f>
        <v>0</v>
      </c>
      <c r="G64" s="239">
        <f>SUM(DID!D64)</f>
        <v>0</v>
      </c>
      <c r="H64" s="239">
        <f>SUM(DID!E64)</f>
        <v>0</v>
      </c>
      <c r="I64" s="239">
        <f>SUM(DID!F64)</f>
        <v>0</v>
      </c>
      <c r="J64" s="239">
        <f>SUM(FC!C64)</f>
        <v>0</v>
      </c>
      <c r="K64" s="239">
        <f>SUM(FN!D64)</f>
        <v>0</v>
      </c>
      <c r="L64" s="239">
        <f>SUM(FN!E64)</f>
        <v>0</v>
      </c>
      <c r="M64" s="239">
        <f>SUM(FN!F64)</f>
        <v>0</v>
      </c>
      <c r="N64" s="239">
        <f>SUM(FN!G64)</f>
        <v>0</v>
      </c>
      <c r="O64" s="239">
        <f>SUM(FS!C64)</f>
        <v>0</v>
      </c>
      <c r="P64" s="239">
        <f>SUM(HR!C64)</f>
        <v>0</v>
      </c>
      <c r="Q64" s="239">
        <f>SUM(HR!D64)</f>
        <v>0</v>
      </c>
      <c r="R64" s="239">
        <f>SUM(IT!C64)</f>
        <v>0</v>
      </c>
      <c r="S64" s="238"/>
      <c r="T64" s="240">
        <f t="shared" si="6"/>
        <v>0</v>
      </c>
      <c r="V64" s="107"/>
      <c r="W64" s="282">
        <f>SUM(Sheet1!O64)</f>
        <v>0</v>
      </c>
    </row>
    <row r="65" spans="1:23" ht="12">
      <c r="A65" s="31" t="s">
        <v>10</v>
      </c>
      <c r="B65" s="31" t="s">
        <v>306</v>
      </c>
      <c r="C65" s="241"/>
      <c r="D65" s="241">
        <f>SUM('AC-SVC'!C65)</f>
        <v>0</v>
      </c>
      <c r="E65" s="241">
        <f>SUM('AC-SVC'!P65)</f>
        <v>0</v>
      </c>
      <c r="F65" s="249">
        <f>SUM(DID!C65)</f>
        <v>0</v>
      </c>
      <c r="G65" s="241">
        <f>SUM(DID!D65)</f>
        <v>0</v>
      </c>
      <c r="H65" s="241">
        <f>SUM(DID!E65)</f>
        <v>0</v>
      </c>
      <c r="I65" s="241">
        <f>SUM(DID!F65)</f>
        <v>0</v>
      </c>
      <c r="J65" s="241">
        <f>SUM(FC!C65)</f>
        <v>0</v>
      </c>
      <c r="K65" s="241">
        <f>SUM(FN!D65)</f>
        <v>0</v>
      </c>
      <c r="L65" s="241">
        <f>SUM(FN!E65)</f>
        <v>0</v>
      </c>
      <c r="M65" s="241">
        <f>SUM(FN!F65)</f>
        <v>0</v>
      </c>
      <c r="N65" s="241">
        <f>SUM(FN!G65)</f>
        <v>0</v>
      </c>
      <c r="O65" s="241">
        <f>SUM(FS!C65)</f>
        <v>0</v>
      </c>
      <c r="P65" s="241">
        <f>SUM(HR!C65)</f>
        <v>0</v>
      </c>
      <c r="Q65" s="241">
        <f>SUM(HR!D65)</f>
        <v>0</v>
      </c>
      <c r="R65" s="241">
        <f>SUM(IT!C65)</f>
        <v>0</v>
      </c>
      <c r="S65" s="238"/>
      <c r="T65" s="242">
        <f t="shared" si="6"/>
        <v>0</v>
      </c>
      <c r="V65" s="108"/>
      <c r="W65" s="283">
        <f>SUM(Sheet1!O65)</f>
        <v>0</v>
      </c>
    </row>
    <row r="66" spans="1:23" ht="10">
      <c r="B66" s="31" t="s">
        <v>308</v>
      </c>
      <c r="C66" s="238">
        <f>+SUM(C53:C65)</f>
        <v>0</v>
      </c>
      <c r="D66" s="238">
        <f>+SUM(D53:D65)</f>
        <v>0</v>
      </c>
      <c r="E66" s="238">
        <f>+SUM(E53:E65)</f>
        <v>0</v>
      </c>
      <c r="F66" s="248">
        <f>SUM(DID!C66)</f>
        <v>16000</v>
      </c>
      <c r="G66" s="238">
        <f t="shared" ref="G66:R66" si="7">+SUM(G53:G65)</f>
        <v>0</v>
      </c>
      <c r="H66" s="238">
        <f t="shared" si="7"/>
        <v>0</v>
      </c>
      <c r="I66" s="238">
        <f t="shared" ref="I66" si="8">+SUM(I53:I65)</f>
        <v>0</v>
      </c>
      <c r="J66" s="238">
        <f t="shared" si="7"/>
        <v>0</v>
      </c>
      <c r="K66" s="238">
        <f t="shared" si="7"/>
        <v>0</v>
      </c>
      <c r="L66" s="238">
        <f t="shared" si="7"/>
        <v>0</v>
      </c>
      <c r="M66" s="238">
        <f t="shared" si="7"/>
        <v>0</v>
      </c>
      <c r="N66" s="238">
        <f t="shared" si="7"/>
        <v>0</v>
      </c>
      <c r="O66" s="238">
        <f t="shared" si="7"/>
        <v>0</v>
      </c>
      <c r="P66" s="238">
        <f>+SUM(P53:P65)</f>
        <v>0</v>
      </c>
      <c r="Q66" s="238">
        <f t="shared" si="7"/>
        <v>0</v>
      </c>
      <c r="R66" s="238">
        <f t="shared" si="7"/>
        <v>11513</v>
      </c>
      <c r="S66" s="238"/>
      <c r="T66" s="244">
        <f>SUM(T53:T65)</f>
        <v>27513</v>
      </c>
      <c r="V66" s="106">
        <v>20106</v>
      </c>
      <c r="W66" s="278">
        <f>SUM(W53:W65)</f>
        <v>23804.745283018867</v>
      </c>
    </row>
    <row r="67" spans="1:23">
      <c r="C67" s="238"/>
      <c r="D67" s="238"/>
      <c r="E67" s="238"/>
      <c r="F67" s="248">
        <f>SUM(DID!C67)</f>
        <v>0</v>
      </c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44"/>
      <c r="V67" s="106"/>
    </row>
    <row r="68" spans="1:23" s="245" customFormat="1" ht="12">
      <c r="A68" s="35"/>
      <c r="B68" s="35" t="s">
        <v>309</v>
      </c>
      <c r="C68" s="243">
        <f>+C66+C49+C38</f>
        <v>1854000.75</v>
      </c>
      <c r="D68" s="243">
        <f>+D66+D49+D38</f>
        <v>0</v>
      </c>
      <c r="E68" s="243">
        <f>SUM(E38+E49+E66)</f>
        <v>0</v>
      </c>
      <c r="F68" s="248">
        <f>SUM(DID!C68)</f>
        <v>156000</v>
      </c>
      <c r="G68" s="243">
        <f t="shared" ref="G68:R68" si="9">+G66+G49+G38</f>
        <v>100000</v>
      </c>
      <c r="H68" s="243">
        <f t="shared" si="9"/>
        <v>13500</v>
      </c>
      <c r="I68" s="243">
        <f t="shared" ref="I68" si="10">+I66+I49+I38</f>
        <v>60000</v>
      </c>
      <c r="J68" s="243">
        <f t="shared" si="9"/>
        <v>0</v>
      </c>
      <c r="K68" s="243">
        <f t="shared" si="9"/>
        <v>5400</v>
      </c>
      <c r="L68" s="243">
        <f t="shared" si="9"/>
        <v>0</v>
      </c>
      <c r="M68" s="243">
        <f t="shared" si="9"/>
        <v>0</v>
      </c>
      <c r="N68" s="243">
        <f t="shared" si="9"/>
        <v>0</v>
      </c>
      <c r="O68" s="243">
        <f t="shared" si="9"/>
        <v>0</v>
      </c>
      <c r="P68" s="243">
        <f>+P66+P49+P38</f>
        <v>0</v>
      </c>
      <c r="Q68" s="243">
        <f t="shared" si="9"/>
        <v>0</v>
      </c>
      <c r="R68" s="243">
        <f t="shared" si="9"/>
        <v>11513</v>
      </c>
      <c r="S68" s="243"/>
      <c r="T68" s="243">
        <f t="shared" ref="T68" si="11">+T66+T49+T38</f>
        <v>2200413.75</v>
      </c>
      <c r="V68" s="106">
        <v>1627350.33</v>
      </c>
      <c r="W68" s="280">
        <f>SUM(W38+W49+W66)</f>
        <v>1926721.3812735847</v>
      </c>
    </row>
    <row r="69" spans="1:23">
      <c r="C69" s="238"/>
      <c r="D69" s="238"/>
      <c r="E69" s="238"/>
      <c r="F69" s="248">
        <f>SUM(DID!C69)</f>
        <v>0</v>
      </c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44"/>
      <c r="V69" s="106"/>
    </row>
    <row r="70" spans="1:23">
      <c r="A70" s="31" t="s">
        <v>310</v>
      </c>
      <c r="C70" s="238"/>
      <c r="D70" s="238"/>
      <c r="E70" s="238"/>
      <c r="F70" s="248">
        <f>SUM(DID!C70)</f>
        <v>0</v>
      </c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44"/>
      <c r="V70" s="106"/>
    </row>
    <row r="71" spans="1:23">
      <c r="A71" s="31" t="s">
        <v>311</v>
      </c>
      <c r="C71" s="238"/>
      <c r="D71" s="238"/>
      <c r="E71" s="238"/>
      <c r="F71" s="248">
        <f>SUM(DID!C71)</f>
        <v>0</v>
      </c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44"/>
      <c r="V71" s="106"/>
    </row>
    <row r="72" spans="1:23" ht="12">
      <c r="A72" s="31" t="s">
        <v>19</v>
      </c>
      <c r="B72" s="31" t="s">
        <v>320</v>
      </c>
      <c r="C72" s="238">
        <f>SUM('STF-SCH'!D14)</f>
        <v>129999.84698605193</v>
      </c>
      <c r="D72" s="239">
        <f>SUM('AC-SVC'!C72)</f>
        <v>60735.639027162579</v>
      </c>
      <c r="E72" s="239">
        <f>SUM('AC-SVC'!P72)</f>
        <v>55581.713481192077</v>
      </c>
      <c r="F72" s="248">
        <f>SUM(DID!C72)</f>
        <v>62220</v>
      </c>
      <c r="G72" s="239">
        <f>SUM(DID!D72)</f>
        <v>0</v>
      </c>
      <c r="H72" s="239">
        <f>SUM(DID!E72)</f>
        <v>0</v>
      </c>
      <c r="I72" s="239">
        <f>SUM(DID!F72)</f>
        <v>0</v>
      </c>
      <c r="J72" s="239">
        <f>SUM(FC!C72)</f>
        <v>64073.694254867296</v>
      </c>
      <c r="K72" s="239">
        <f>SUM(FN!D72)</f>
        <v>65238.659191462233</v>
      </c>
      <c r="L72" s="239">
        <f>SUM(FN!E72)</f>
        <v>52514.55</v>
      </c>
      <c r="M72" s="239">
        <f>SUM(FN!F72)</f>
        <v>0</v>
      </c>
      <c r="N72" s="239">
        <f>SUM(FN!G72)</f>
        <v>0</v>
      </c>
      <c r="O72" s="239">
        <f>SUM(FS!C72)</f>
        <v>60014.418740065223</v>
      </c>
      <c r="P72" s="239">
        <f>SUM(HR!C72)</f>
        <v>0</v>
      </c>
      <c r="Q72" s="239">
        <f>SUM(HR!D72)</f>
        <v>71966.722113877739</v>
      </c>
      <c r="R72" s="239">
        <f>SUM(IT!C72)</f>
        <v>0</v>
      </c>
      <c r="S72" s="238"/>
      <c r="T72" s="240">
        <f t="shared" ref="T72:T79" si="12">SUM(C72:R72)</f>
        <v>622345.24379467906</v>
      </c>
      <c r="V72" s="107">
        <v>2540.25</v>
      </c>
      <c r="W72" s="282">
        <f>+T72</f>
        <v>622345.24379467906</v>
      </c>
    </row>
    <row r="73" spans="1:23" ht="12">
      <c r="A73" s="31" t="s">
        <v>12</v>
      </c>
      <c r="B73" s="31" t="s">
        <v>312</v>
      </c>
      <c r="C73" s="238"/>
      <c r="D73" s="239">
        <f>SUM('AC-SVC'!C73)</f>
        <v>0</v>
      </c>
      <c r="E73" s="239">
        <f>SUM('AC-SVC'!P73)</f>
        <v>0</v>
      </c>
      <c r="F73" s="248">
        <f>SUM(DID!C73)</f>
        <v>0</v>
      </c>
      <c r="G73" s="239">
        <f>SUM(DID!D73)</f>
        <v>0</v>
      </c>
      <c r="H73" s="239">
        <f>SUM(DID!E73)</f>
        <v>0</v>
      </c>
      <c r="I73" s="239">
        <f>SUM(DID!F73)</f>
        <v>0</v>
      </c>
      <c r="J73" s="239">
        <f>SUM(FC!C73)</f>
        <v>0</v>
      </c>
      <c r="K73" s="239">
        <f>SUM(FN!D73)</f>
        <v>0</v>
      </c>
      <c r="L73" s="239">
        <f>SUM(FN!E73)</f>
        <v>0</v>
      </c>
      <c r="M73" s="239">
        <f>SUM(FN!F73)</f>
        <v>0</v>
      </c>
      <c r="N73" s="239">
        <f>SUM(FN!G73)</f>
        <v>0</v>
      </c>
      <c r="O73" s="239">
        <f>SUM(FS!C73)</f>
        <v>0</v>
      </c>
      <c r="P73" s="239">
        <f>SUM(HR!C73)</f>
        <v>0</v>
      </c>
      <c r="Q73" s="239">
        <f>SUM(HR!D73)</f>
        <v>0</v>
      </c>
      <c r="R73" s="239">
        <f>SUM(IT!C73)</f>
        <v>0</v>
      </c>
      <c r="S73" s="238"/>
      <c r="T73" s="240">
        <f t="shared" si="12"/>
        <v>0</v>
      </c>
      <c r="V73" s="107">
        <v>7023.26</v>
      </c>
      <c r="W73" s="282">
        <f>SUM(Sheet1!O73)</f>
        <v>8315.2748113207545</v>
      </c>
    </row>
    <row r="74" spans="1:23" ht="12">
      <c r="A74" s="31" t="s">
        <v>13</v>
      </c>
      <c r="B74" s="31" t="s">
        <v>313</v>
      </c>
      <c r="C74" s="238"/>
      <c r="D74" s="239">
        <f>SUM('AC-SVC'!C74)</f>
        <v>0</v>
      </c>
      <c r="E74" s="239">
        <f>SUM('AC-SVC'!P74)</f>
        <v>0</v>
      </c>
      <c r="F74" s="248">
        <f>SUM(DID!C74)</f>
        <v>0</v>
      </c>
      <c r="G74" s="239">
        <f>SUM(DID!D74)</f>
        <v>0</v>
      </c>
      <c r="H74" s="239">
        <f>SUM(DID!E74)</f>
        <v>0</v>
      </c>
      <c r="I74" s="239">
        <f>SUM(DID!F74)</f>
        <v>0</v>
      </c>
      <c r="J74" s="239">
        <f>SUM(FC!C74)</f>
        <v>0</v>
      </c>
      <c r="K74" s="239">
        <f>SUM(FN!D74)</f>
        <v>0</v>
      </c>
      <c r="L74" s="239">
        <f>SUM(FN!E74)</f>
        <v>0</v>
      </c>
      <c r="M74" s="239">
        <f>SUM(FN!F74)</f>
        <v>0</v>
      </c>
      <c r="N74" s="239">
        <f>SUM(FN!G74)</f>
        <v>0</v>
      </c>
      <c r="O74" s="239">
        <f>SUM(FS!C74)</f>
        <v>0</v>
      </c>
      <c r="P74" s="239">
        <f>SUM(HR!C74)</f>
        <v>0</v>
      </c>
      <c r="Q74" s="239">
        <f>SUM(HR!D74)</f>
        <v>0</v>
      </c>
      <c r="R74" s="239">
        <f>SUM(IT!C74)</f>
        <v>0</v>
      </c>
      <c r="S74" s="238"/>
      <c r="T74" s="240">
        <f t="shared" si="12"/>
        <v>0</v>
      </c>
      <c r="V74" s="107">
        <v>9204.6200000000008</v>
      </c>
      <c r="W74" s="282">
        <f>SUM(Sheet1!O74)</f>
        <v>10897.922735849057</v>
      </c>
    </row>
    <row r="75" spans="1:23" ht="12">
      <c r="A75" s="31" t="s">
        <v>14</v>
      </c>
      <c r="B75" s="31" t="s">
        <v>314</v>
      </c>
      <c r="C75" s="238"/>
      <c r="D75" s="239">
        <f>SUM('AC-SVC'!C75)</f>
        <v>0</v>
      </c>
      <c r="E75" s="239">
        <f>SUM('AC-SVC'!P75)</f>
        <v>0</v>
      </c>
      <c r="F75" s="248">
        <f>SUM(DID!C75)</f>
        <v>0</v>
      </c>
      <c r="G75" s="239">
        <f>SUM(DID!D75)</f>
        <v>0</v>
      </c>
      <c r="H75" s="239">
        <f>SUM(DID!E75)</f>
        <v>0</v>
      </c>
      <c r="I75" s="239">
        <f>SUM(DID!F75)</f>
        <v>0</v>
      </c>
      <c r="J75" s="239">
        <f>SUM(FC!C75)</f>
        <v>0</v>
      </c>
      <c r="K75" s="239">
        <f>SUM(FN!D75)</f>
        <v>0</v>
      </c>
      <c r="L75" s="239">
        <f>SUM(FN!E75)</f>
        <v>0</v>
      </c>
      <c r="M75" s="239">
        <f>SUM(FN!F75)</f>
        <v>0</v>
      </c>
      <c r="N75" s="239">
        <f>SUM(FN!G75)</f>
        <v>0</v>
      </c>
      <c r="O75" s="239">
        <f>SUM(FS!C75)</f>
        <v>0</v>
      </c>
      <c r="P75" s="239">
        <f>SUM(HR!C75)</f>
        <v>0</v>
      </c>
      <c r="Q75" s="239">
        <f>SUM(HR!D75)</f>
        <v>0</v>
      </c>
      <c r="R75" s="239">
        <f>SUM(IT!C75)</f>
        <v>0</v>
      </c>
      <c r="S75" s="238"/>
      <c r="T75" s="240">
        <f t="shared" si="12"/>
        <v>0</v>
      </c>
      <c r="V75" s="107">
        <v>0</v>
      </c>
      <c r="W75" s="282">
        <f>SUM(Sheet1!O75)</f>
        <v>0</v>
      </c>
    </row>
    <row r="76" spans="1:23" ht="12">
      <c r="A76" s="31" t="s">
        <v>15</v>
      </c>
      <c r="B76" s="31" t="s">
        <v>315</v>
      </c>
      <c r="C76" s="238"/>
      <c r="D76" s="239">
        <f>SUM('AC-SVC'!C76)</f>
        <v>0</v>
      </c>
      <c r="E76" s="239">
        <f>SUM('AC-SVC'!P76)</f>
        <v>0</v>
      </c>
      <c r="F76" s="248">
        <f>SUM(DID!C76)</f>
        <v>0</v>
      </c>
      <c r="G76" s="239">
        <f>SUM(DID!D76)</f>
        <v>45000</v>
      </c>
      <c r="H76" s="239">
        <f>SUM(DID!E76)</f>
        <v>0</v>
      </c>
      <c r="I76" s="239">
        <f>SUM(DID!F76)</f>
        <v>0</v>
      </c>
      <c r="J76" s="239">
        <f>SUM(FC!C76)</f>
        <v>0</v>
      </c>
      <c r="K76" s="239">
        <f>SUM(FN!D76)</f>
        <v>0</v>
      </c>
      <c r="L76" s="239">
        <f>SUM(FN!E76)</f>
        <v>0</v>
      </c>
      <c r="M76" s="239">
        <f>SUM(FN!F76)</f>
        <v>43611.890675165996</v>
      </c>
      <c r="N76" s="239">
        <f>SUM(FN!G76)</f>
        <v>0</v>
      </c>
      <c r="O76" s="239">
        <f>SUM(FS!C76)</f>
        <v>0</v>
      </c>
      <c r="P76" s="239">
        <f>SUM(HR!C76)</f>
        <v>0</v>
      </c>
      <c r="Q76" s="239">
        <f>SUM(HR!D76)</f>
        <v>0</v>
      </c>
      <c r="R76" s="239">
        <f>SUM(IT!C76)</f>
        <v>53450</v>
      </c>
      <c r="S76" s="238"/>
      <c r="T76" s="240">
        <f t="shared" si="12"/>
        <v>142061.89067516598</v>
      </c>
      <c r="V76" s="107">
        <v>62829.59</v>
      </c>
      <c r="W76" s="282">
        <f>+T76</f>
        <v>142061.89067516598</v>
      </c>
    </row>
    <row r="77" spans="1:23" ht="12">
      <c r="A77" s="31" t="s">
        <v>16</v>
      </c>
      <c r="B77" s="31" t="s">
        <v>316</v>
      </c>
      <c r="C77" s="238">
        <f>SUM('OP-SCH'!F48)</f>
        <v>47497.728682708475</v>
      </c>
      <c r="D77" s="239">
        <f>SUM('AC-SVC'!C77)</f>
        <v>0</v>
      </c>
      <c r="E77" s="239">
        <f>SUM('AC-SVC'!P77)</f>
        <v>0</v>
      </c>
      <c r="F77" s="248">
        <f>SUM(DID!C77)</f>
        <v>0</v>
      </c>
      <c r="G77" s="239">
        <f>SUM(DID!D77)</f>
        <v>0</v>
      </c>
      <c r="H77" s="239">
        <f>SUM(DID!E77)</f>
        <v>43161</v>
      </c>
      <c r="I77" s="239">
        <f>SUM(DID!F77)</f>
        <v>40800</v>
      </c>
      <c r="J77" s="239">
        <f>SUM(FC!C77)</f>
        <v>0</v>
      </c>
      <c r="K77" s="239">
        <f>SUM(FN!D77)</f>
        <v>0</v>
      </c>
      <c r="L77" s="239">
        <f>SUM(FN!E77)</f>
        <v>0</v>
      </c>
      <c r="M77" s="239">
        <f>SUM(FN!F77)</f>
        <v>0</v>
      </c>
      <c r="N77" s="239">
        <f>SUM(FN!G77)</f>
        <v>57472.351999999999</v>
      </c>
      <c r="O77" s="239">
        <f>SUM(FS!C77)</f>
        <v>0</v>
      </c>
      <c r="P77" s="239">
        <f>SUM(HR!C77)</f>
        <v>73082.438457968005</v>
      </c>
      <c r="Q77" s="239">
        <f>SUM(HR!D77)</f>
        <v>32564.121297968002</v>
      </c>
      <c r="R77" s="239">
        <f>SUM(IT!C77)</f>
        <v>0</v>
      </c>
      <c r="S77" s="238"/>
      <c r="T77" s="240">
        <f t="shared" si="12"/>
        <v>294577.64043864451</v>
      </c>
      <c r="V77" s="107">
        <v>183019.56</v>
      </c>
      <c r="W77" s="282">
        <f>SUM(Sheet1!O77)</f>
        <v>216688.25264150943</v>
      </c>
    </row>
    <row r="78" spans="1:23" ht="12">
      <c r="A78" s="31" t="s">
        <v>17</v>
      </c>
      <c r="B78" s="31" t="s">
        <v>317</v>
      </c>
      <c r="C78" s="238"/>
      <c r="D78" s="239">
        <f>SUM('AC-SVC'!C78)</f>
        <v>0</v>
      </c>
      <c r="E78" s="239">
        <f>SUM('AC-SVC'!P78)</f>
        <v>0</v>
      </c>
      <c r="F78" s="248">
        <f>SUM(DID!C78)</f>
        <v>0</v>
      </c>
      <c r="G78" s="239">
        <f>SUM(DID!D78)</f>
        <v>0</v>
      </c>
      <c r="H78" s="239">
        <f>SUM(DID!E78)</f>
        <v>0</v>
      </c>
      <c r="I78" s="239">
        <f>SUM(DID!F78)</f>
        <v>0</v>
      </c>
      <c r="J78" s="239">
        <f>SUM(FC!C78)</f>
        <v>0</v>
      </c>
      <c r="K78" s="239">
        <f>SUM(FN!D78)</f>
        <v>0</v>
      </c>
      <c r="L78" s="239">
        <f>SUM(FN!E78)</f>
        <v>0</v>
      </c>
      <c r="M78" s="239">
        <f>SUM(FN!F78)</f>
        <v>0</v>
      </c>
      <c r="N78" s="239">
        <f>SUM(FN!G78)</f>
        <v>0</v>
      </c>
      <c r="O78" s="239">
        <f>SUM(FS!C78)</f>
        <v>0</v>
      </c>
      <c r="P78" s="239">
        <f>SUM(HR!C78)</f>
        <v>0</v>
      </c>
      <c r="Q78" s="239">
        <f>SUM(HR!D78)</f>
        <v>0</v>
      </c>
      <c r="R78" s="239">
        <f>SUM(IT!C78)</f>
        <v>0</v>
      </c>
      <c r="S78" s="238"/>
      <c r="T78" s="240">
        <f t="shared" si="12"/>
        <v>0</v>
      </c>
      <c r="V78" s="107">
        <v>258.62</v>
      </c>
      <c r="W78" s="282">
        <v>0</v>
      </c>
    </row>
    <row r="79" spans="1:23" ht="14.25" customHeight="1">
      <c r="A79" s="31" t="s">
        <v>18</v>
      </c>
      <c r="B79" s="31" t="s">
        <v>319</v>
      </c>
      <c r="C79" s="241"/>
      <c r="D79" s="241">
        <f>SUM('AC-SVC'!C79)</f>
        <v>0</v>
      </c>
      <c r="E79" s="241">
        <f>SUM('AC-SVC'!P79)</f>
        <v>0</v>
      </c>
      <c r="F79" s="249">
        <f>SUM(DID!C79)</f>
        <v>0</v>
      </c>
      <c r="G79" s="241">
        <f>SUM(DID!D79)</f>
        <v>0</v>
      </c>
      <c r="H79" s="241">
        <f>SUM(DID!E79)</f>
        <v>0</v>
      </c>
      <c r="I79" s="241">
        <f>SUM(DID!F79)</f>
        <v>0</v>
      </c>
      <c r="J79" s="241">
        <f>SUM(FC!C79)</f>
        <v>0</v>
      </c>
      <c r="K79" s="241">
        <f>SUM(FN!D79)</f>
        <v>0</v>
      </c>
      <c r="L79" s="241">
        <f>SUM(FN!E79)</f>
        <v>0</v>
      </c>
      <c r="M79" s="241">
        <f>SUM(FN!F79)</f>
        <v>0</v>
      </c>
      <c r="N79" s="241">
        <f>SUM(FN!G79)</f>
        <v>0</v>
      </c>
      <c r="O79" s="241">
        <f>SUM(FS!C79)</f>
        <v>0</v>
      </c>
      <c r="P79" s="241">
        <f>SUM(HR!C79)</f>
        <v>0</v>
      </c>
      <c r="Q79" s="241">
        <f>SUM(HR!D79)</f>
        <v>0</v>
      </c>
      <c r="R79" s="241">
        <f>SUM(IT!C79)</f>
        <v>0</v>
      </c>
      <c r="S79" s="238"/>
      <c r="T79" s="242">
        <f t="shared" si="12"/>
        <v>0</v>
      </c>
      <c r="V79" s="108">
        <v>566341.80000000005</v>
      </c>
      <c r="W79" s="283">
        <v>0</v>
      </c>
    </row>
    <row r="80" spans="1:23" ht="10">
      <c r="B80" s="31" t="s">
        <v>24</v>
      </c>
      <c r="C80" s="238">
        <f>SUM(C72:C79)</f>
        <v>177497.5756687604</v>
      </c>
      <c r="D80" s="238">
        <f>SUM(D72:D79)</f>
        <v>60735.639027162579</v>
      </c>
      <c r="E80" s="238">
        <f>SUM(E72:E79)</f>
        <v>55581.713481192077</v>
      </c>
      <c r="F80" s="248">
        <f>SUM(DID!C80)</f>
        <v>62220</v>
      </c>
      <c r="G80" s="238">
        <f t="shared" ref="G80:R80" si="13">SUM(G72:G79)</f>
        <v>45000</v>
      </c>
      <c r="H80" s="238">
        <f t="shared" si="13"/>
        <v>43161</v>
      </c>
      <c r="I80" s="238">
        <f t="shared" ref="I80" si="14">SUM(I72:I79)</f>
        <v>40800</v>
      </c>
      <c r="J80" s="238">
        <f t="shared" si="13"/>
        <v>64073.694254867296</v>
      </c>
      <c r="K80" s="238">
        <f t="shared" si="13"/>
        <v>65238.659191462233</v>
      </c>
      <c r="L80" s="238">
        <f t="shared" si="13"/>
        <v>52514.55</v>
      </c>
      <c r="M80" s="238">
        <f t="shared" si="13"/>
        <v>43611.890675165996</v>
      </c>
      <c r="N80" s="238">
        <f t="shared" si="13"/>
        <v>57472.351999999999</v>
      </c>
      <c r="O80" s="238">
        <f t="shared" si="13"/>
        <v>60014.418740065223</v>
      </c>
      <c r="P80" s="238">
        <f>SUM(P72:P79)</f>
        <v>73082.438457968005</v>
      </c>
      <c r="Q80" s="238">
        <f t="shared" si="13"/>
        <v>104530.84341184574</v>
      </c>
      <c r="R80" s="238">
        <f t="shared" si="13"/>
        <v>53450</v>
      </c>
      <c r="S80" s="238"/>
      <c r="T80" s="244">
        <f>SUM(T72:T79)</f>
        <v>1058984.7749084895</v>
      </c>
      <c r="V80" s="106">
        <v>831217.70000000007</v>
      </c>
      <c r="W80" s="278">
        <f>SUM(W72:W79)</f>
        <v>1000308.5846585241</v>
      </c>
    </row>
    <row r="81" spans="1:23">
      <c r="C81" s="238"/>
      <c r="D81" s="238"/>
      <c r="E81" s="238"/>
      <c r="F81" s="248">
        <f>SUM(DID!C81)</f>
        <v>0</v>
      </c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44"/>
      <c r="V81" s="106"/>
    </row>
    <row r="82" spans="1:23">
      <c r="C82" s="238"/>
      <c r="D82" s="238"/>
      <c r="E82" s="238"/>
      <c r="F82" s="248">
        <f>SUM(DID!C82)</f>
        <v>0</v>
      </c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44"/>
      <c r="V82" s="106"/>
    </row>
    <row r="83" spans="1:23">
      <c r="A83" s="36" t="s">
        <v>322</v>
      </c>
      <c r="C83" s="238"/>
      <c r="D83" s="239">
        <f>SUM('AC-SVC'!C83)</f>
        <v>0</v>
      </c>
      <c r="E83" s="238"/>
      <c r="F83" s="248">
        <f>SUM(DID!C83)</f>
        <v>0</v>
      </c>
      <c r="G83" s="238"/>
      <c r="H83" s="238"/>
      <c r="I83" s="238"/>
      <c r="J83" s="238"/>
      <c r="K83" s="238"/>
      <c r="L83" s="238"/>
      <c r="M83" s="238"/>
      <c r="N83" s="238"/>
      <c r="O83" s="239">
        <f>SUM(FS!C83)</f>
        <v>0</v>
      </c>
      <c r="P83" s="238"/>
      <c r="Q83" s="239">
        <f>SUM(HR!D83)</f>
        <v>0</v>
      </c>
      <c r="R83" s="239">
        <f>SUM(IT!C83)</f>
        <v>0</v>
      </c>
      <c r="S83" s="238"/>
      <c r="T83" s="244"/>
      <c r="V83" s="106"/>
    </row>
    <row r="84" spans="1:23" ht="12">
      <c r="A84" s="31" t="s">
        <v>20</v>
      </c>
      <c r="B84" s="31" t="s">
        <v>321</v>
      </c>
      <c r="C84" s="238"/>
      <c r="D84" s="239">
        <f>SUM('AC-SVC'!C84)</f>
        <v>0</v>
      </c>
      <c r="E84" s="239">
        <f>SUM('AC-SVC'!P84)</f>
        <v>0</v>
      </c>
      <c r="F84" s="248">
        <f>SUM(DID!C84)</f>
        <v>0</v>
      </c>
      <c r="G84" s="239">
        <f>SUM(DID!D84)</f>
        <v>0</v>
      </c>
      <c r="H84" s="239">
        <f>SUM(DID!E84)</f>
        <v>0</v>
      </c>
      <c r="I84" s="239">
        <f>SUM(DID!F84)</f>
        <v>0</v>
      </c>
      <c r="J84" s="239">
        <f>SUM(FC!C84)</f>
        <v>0</v>
      </c>
      <c r="K84" s="239">
        <f>SUM(FN!D84)</f>
        <v>0</v>
      </c>
      <c r="L84" s="239">
        <f>SUM(FN!E84)</f>
        <v>0</v>
      </c>
      <c r="M84" s="239">
        <f>SUM(FN!F84)</f>
        <v>0</v>
      </c>
      <c r="N84" s="239">
        <f>SUM(FN!G84)</f>
        <v>0</v>
      </c>
      <c r="O84" s="239">
        <f>SUM(FS!C84)</f>
        <v>0</v>
      </c>
      <c r="P84" s="239">
        <f>SUM(HR!C84)</f>
        <v>0</v>
      </c>
      <c r="Q84" s="239">
        <f>SUM(HR!D84)</f>
        <v>0</v>
      </c>
      <c r="R84" s="239">
        <f>SUM(IT!C84)</f>
        <v>0</v>
      </c>
      <c r="S84" s="238"/>
      <c r="T84" s="240">
        <f>SUM(C84:R84)</f>
        <v>0</v>
      </c>
      <c r="V84" s="107"/>
      <c r="W84" s="282">
        <f>SUM(Sheet1!O84)</f>
        <v>0</v>
      </c>
    </row>
    <row r="85" spans="1:23" ht="12">
      <c r="A85" s="31" t="s">
        <v>21</v>
      </c>
      <c r="B85" s="31" t="s">
        <v>322</v>
      </c>
      <c r="C85" s="238"/>
      <c r="D85" s="239">
        <f>SUM('AC-SVC'!C85)</f>
        <v>0</v>
      </c>
      <c r="E85" s="239">
        <f>SUM('AC-SVC'!P85)</f>
        <v>0</v>
      </c>
      <c r="F85" s="248">
        <f>SUM(DID!C85)</f>
        <v>0</v>
      </c>
      <c r="G85" s="239">
        <f>SUM(DID!D85)</f>
        <v>0</v>
      </c>
      <c r="H85" s="239">
        <f>SUM(DID!E85)</f>
        <v>0</v>
      </c>
      <c r="I85" s="239">
        <f>SUM(DID!F85)</f>
        <v>0</v>
      </c>
      <c r="J85" s="239">
        <f>SUM(FC!C85)</f>
        <v>0</v>
      </c>
      <c r="K85" s="239">
        <f>SUM(FN!D85)</f>
        <v>0</v>
      </c>
      <c r="L85" s="239">
        <f>SUM(FN!E85)</f>
        <v>0</v>
      </c>
      <c r="M85" s="239">
        <f>SUM(FN!F85)</f>
        <v>0</v>
      </c>
      <c r="N85" s="239">
        <f>SUM(FN!G85)</f>
        <v>0</v>
      </c>
      <c r="O85" s="239">
        <f>SUM(FS!C85)</f>
        <v>0</v>
      </c>
      <c r="P85" s="239">
        <f>SUM(HR!C85)</f>
        <v>0</v>
      </c>
      <c r="Q85" s="239">
        <f>SUM(HR!D85)</f>
        <v>0</v>
      </c>
      <c r="R85" s="239">
        <f>SUM(IT!C85)</f>
        <v>0</v>
      </c>
      <c r="S85" s="238"/>
      <c r="T85" s="240">
        <f>SUM(C85:R85)</f>
        <v>0</v>
      </c>
      <c r="V85" s="107"/>
      <c r="W85" s="282">
        <f>SUM(Sheet1!O85)</f>
        <v>0</v>
      </c>
    </row>
    <row r="86" spans="1:23" ht="12">
      <c r="A86" s="31" t="s">
        <v>406</v>
      </c>
      <c r="B86" s="31" t="s">
        <v>407</v>
      </c>
      <c r="C86" s="238">
        <v>10000</v>
      </c>
      <c r="D86" s="239">
        <f>SUM('AC-SVC'!C86)</f>
        <v>12000</v>
      </c>
      <c r="E86" s="239">
        <f>SUM('AC-SVC'!P86)</f>
        <v>0</v>
      </c>
      <c r="F86" s="248">
        <f>SUM(DID!C86)</f>
        <v>1200</v>
      </c>
      <c r="G86" s="239">
        <f>SUM(DID!D86)</f>
        <v>1200</v>
      </c>
      <c r="H86" s="239">
        <f>SUM(DID!E86)</f>
        <v>1200</v>
      </c>
      <c r="I86" s="239">
        <f>SUM(DID!F86)</f>
        <v>1200</v>
      </c>
      <c r="J86" s="239">
        <f>SUM(FC!C86)</f>
        <v>0</v>
      </c>
      <c r="K86" s="239">
        <f>SUM(FN!D86)</f>
        <v>0</v>
      </c>
      <c r="L86" s="239">
        <f>SUM(FN!E86)</f>
        <v>0</v>
      </c>
      <c r="M86" s="239">
        <f>SUM(FN!F86)</f>
        <v>750</v>
      </c>
      <c r="N86" s="239">
        <f>SUM(FN!G86)</f>
        <v>1500</v>
      </c>
      <c r="O86" s="239">
        <f>SUM(FS!C86)</f>
        <v>0</v>
      </c>
      <c r="P86" s="239">
        <f>SUM(HR!C86)</f>
        <v>1500</v>
      </c>
      <c r="Q86" s="239">
        <f>SUM(HR!D86)</f>
        <v>4000</v>
      </c>
      <c r="R86" s="239">
        <f>SUM(IT!C86)</f>
        <v>0</v>
      </c>
      <c r="S86" s="238"/>
      <c r="T86" s="240">
        <f>SUM(C86:R86)</f>
        <v>34550</v>
      </c>
      <c r="V86" s="107"/>
      <c r="W86" s="282">
        <f>+T86</f>
        <v>34550</v>
      </c>
    </row>
    <row r="87" spans="1:23" ht="12">
      <c r="A87" s="31" t="s">
        <v>22</v>
      </c>
      <c r="B87" s="31" t="s">
        <v>23</v>
      </c>
      <c r="C87" s="241"/>
      <c r="D87" s="241">
        <f>SUM('AC-SVC'!C87)</f>
        <v>0</v>
      </c>
      <c r="E87" s="241">
        <f>SUM('AC-SVC'!P87)</f>
        <v>0</v>
      </c>
      <c r="F87" s="249">
        <f>SUM(DID!C87)</f>
        <v>0</v>
      </c>
      <c r="G87" s="241">
        <f>SUM(DID!D87)</f>
        <v>0</v>
      </c>
      <c r="H87" s="241">
        <f>SUM(DID!E87)</f>
        <v>0</v>
      </c>
      <c r="I87" s="241">
        <f>SUM(DID!F87)</f>
        <v>0</v>
      </c>
      <c r="J87" s="241">
        <f>SUM(FC!C87)</f>
        <v>0</v>
      </c>
      <c r="K87" s="241">
        <f>SUM(FN!D87)</f>
        <v>0</v>
      </c>
      <c r="L87" s="241">
        <f>SUM(FN!E87)</f>
        <v>0</v>
      </c>
      <c r="M87" s="241">
        <f>SUM(FN!F87)</f>
        <v>0</v>
      </c>
      <c r="N87" s="241">
        <f>SUM(FN!G87)</f>
        <v>0</v>
      </c>
      <c r="O87" s="241">
        <f>SUM(FS!C87)</f>
        <v>0</v>
      </c>
      <c r="P87" s="241">
        <f>SUM(HR!C87)</f>
        <v>0</v>
      </c>
      <c r="Q87" s="241">
        <f>SUM(HR!D87)</f>
        <v>0</v>
      </c>
      <c r="R87" s="241">
        <f>SUM(IT!C87)</f>
        <v>0</v>
      </c>
      <c r="S87" s="238"/>
      <c r="T87" s="242">
        <f>SUM(C87:R87)</f>
        <v>0</v>
      </c>
      <c r="V87" s="108">
        <v>-138</v>
      </c>
      <c r="W87" s="283">
        <v>0</v>
      </c>
    </row>
    <row r="88" spans="1:23" ht="10">
      <c r="B88" s="31" t="s">
        <v>323</v>
      </c>
      <c r="C88" s="238">
        <f>SUM(C84:C87)</f>
        <v>10000</v>
      </c>
      <c r="D88" s="238">
        <f>SUM(D84:D87)</f>
        <v>12000</v>
      </c>
      <c r="E88" s="238">
        <f>+SUM(E84:E87)</f>
        <v>0</v>
      </c>
      <c r="F88" s="248">
        <f>SUM(DID!C88)</f>
        <v>1200</v>
      </c>
      <c r="G88" s="238">
        <f t="shared" ref="G88:R88" si="15">SUM(G84:G87)</f>
        <v>1200</v>
      </c>
      <c r="H88" s="238">
        <f t="shared" si="15"/>
        <v>1200</v>
      </c>
      <c r="I88" s="238">
        <f t="shared" ref="I88" si="16">SUM(I84:I87)</f>
        <v>1200</v>
      </c>
      <c r="J88" s="238">
        <f t="shared" si="15"/>
        <v>0</v>
      </c>
      <c r="K88" s="238">
        <f t="shared" si="15"/>
        <v>0</v>
      </c>
      <c r="L88" s="238">
        <f t="shared" si="15"/>
        <v>0</v>
      </c>
      <c r="M88" s="238">
        <f t="shared" si="15"/>
        <v>750</v>
      </c>
      <c r="N88" s="238">
        <f t="shared" si="15"/>
        <v>1500</v>
      </c>
      <c r="O88" s="238">
        <f t="shared" si="15"/>
        <v>0</v>
      </c>
      <c r="P88" s="238">
        <f>SUM(P84:P87)</f>
        <v>1500</v>
      </c>
      <c r="Q88" s="238">
        <f t="shared" si="15"/>
        <v>4000</v>
      </c>
      <c r="R88" s="238">
        <f t="shared" si="15"/>
        <v>0</v>
      </c>
      <c r="S88" s="238"/>
      <c r="T88" s="244">
        <f>SUM(T84:T87)</f>
        <v>34550</v>
      </c>
      <c r="V88" s="106">
        <v>-138</v>
      </c>
      <c r="W88" s="278">
        <f>SUM(W84:W87)</f>
        <v>34550</v>
      </c>
    </row>
    <row r="89" spans="1:23">
      <c r="C89" s="238"/>
      <c r="D89" s="238"/>
      <c r="E89" s="238"/>
      <c r="F89" s="248">
        <f>SUM(DID!C89)</f>
        <v>0</v>
      </c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44"/>
      <c r="V89" s="106"/>
    </row>
    <row r="90" spans="1:23" ht="12">
      <c r="B90" s="31" t="s">
        <v>324</v>
      </c>
      <c r="C90" s="238">
        <f>SUM(C80+C88)</f>
        <v>187497.5756687604</v>
      </c>
      <c r="D90" s="238">
        <f>SUM(D80+D88)</f>
        <v>72735.639027162571</v>
      </c>
      <c r="E90" s="238">
        <f>SUM(E80+E88)</f>
        <v>55581.713481192077</v>
      </c>
      <c r="F90" s="248">
        <f>SUM(DID!C90)</f>
        <v>63420</v>
      </c>
      <c r="G90" s="238">
        <f t="shared" ref="G90:R90" si="17">SUM(G80+G88)</f>
        <v>46200</v>
      </c>
      <c r="H90" s="238">
        <f t="shared" si="17"/>
        <v>44361</v>
      </c>
      <c r="I90" s="238">
        <f t="shared" ref="I90" si="18">SUM(I80+I88)</f>
        <v>42000</v>
      </c>
      <c r="J90" s="238">
        <f t="shared" si="17"/>
        <v>64073.694254867296</v>
      </c>
      <c r="K90" s="238">
        <f t="shared" si="17"/>
        <v>65238.659191462233</v>
      </c>
      <c r="L90" s="238">
        <f t="shared" si="17"/>
        <v>52514.55</v>
      </c>
      <c r="M90" s="238">
        <f t="shared" si="17"/>
        <v>44361.890675165996</v>
      </c>
      <c r="N90" s="238">
        <f t="shared" si="17"/>
        <v>58972.351999999999</v>
      </c>
      <c r="O90" s="238">
        <f t="shared" si="17"/>
        <v>60014.418740065223</v>
      </c>
      <c r="P90" s="238">
        <f>SUM(P80+P88)</f>
        <v>74582.438457968005</v>
      </c>
      <c r="Q90" s="238">
        <f t="shared" si="17"/>
        <v>108530.84341184574</v>
      </c>
      <c r="R90" s="238">
        <f t="shared" si="17"/>
        <v>53450</v>
      </c>
      <c r="S90" s="238"/>
      <c r="T90" s="243">
        <f>+T80+T88</f>
        <v>1093534.7749084895</v>
      </c>
      <c r="V90" s="106">
        <v>831079.70000000007</v>
      </c>
      <c r="W90" s="279">
        <f>SUM(W80+W88)</f>
        <v>1034858.5846585241</v>
      </c>
    </row>
    <row r="91" spans="1:23">
      <c r="C91" s="238"/>
      <c r="D91" s="238"/>
      <c r="E91" s="238"/>
      <c r="F91" s="248">
        <f>SUM(DID!C91)</f>
        <v>0</v>
      </c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44"/>
      <c r="V91" s="106"/>
    </row>
    <row r="92" spans="1:23">
      <c r="A92" s="31" t="s">
        <v>325</v>
      </c>
      <c r="C92" s="238"/>
      <c r="D92" s="238"/>
      <c r="E92" s="238"/>
      <c r="F92" s="248">
        <f>SUM(DID!C92)</f>
        <v>0</v>
      </c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44"/>
      <c r="V92" s="106"/>
    </row>
    <row r="93" spans="1:23" ht="12">
      <c r="A93" s="31" t="s">
        <v>25</v>
      </c>
      <c r="B93" s="31" t="s">
        <v>33</v>
      </c>
      <c r="C93" s="238">
        <f>+C$7*139.64*2*1.05*12</f>
        <v>7037.8559999999998</v>
      </c>
      <c r="D93" s="239">
        <f>SUM('AC-SVC'!C93)</f>
        <v>3518.9279999999999</v>
      </c>
      <c r="E93" s="239">
        <f>SUM('AC-SVC'!P93)</f>
        <v>3518.9279999999999</v>
      </c>
      <c r="F93" s="248">
        <f>SUM(DID!C93)</f>
        <v>3518.9279999999999</v>
      </c>
      <c r="G93" s="238">
        <f t="shared" ref="G93:I93" si="19">+G$7*139.64*2*1.05*12</f>
        <v>3518.9279999999999</v>
      </c>
      <c r="H93" s="238">
        <f t="shared" si="19"/>
        <v>3518.9279999999999</v>
      </c>
      <c r="I93" s="238">
        <f t="shared" si="19"/>
        <v>3518.9279999999999</v>
      </c>
      <c r="J93" s="239">
        <f>SUM(FC!C93)</f>
        <v>3518.9279999999999</v>
      </c>
      <c r="K93" s="239">
        <f>SUM(FN!D93)</f>
        <v>3518.9279999999999</v>
      </c>
      <c r="L93" s="239">
        <f>SUM(FN!E93)</f>
        <v>3518.9279999999999</v>
      </c>
      <c r="M93" s="239">
        <f>SUM(FN!F93)</f>
        <v>3518.9279999999999</v>
      </c>
      <c r="N93" s="239">
        <f>SUM(FN!G93)</f>
        <v>7037.8559999999998</v>
      </c>
      <c r="O93" s="239">
        <f>SUM(FS!C93)</f>
        <v>3518.9279999999999</v>
      </c>
      <c r="P93" s="239">
        <f>SUM(HR!C93)</f>
        <v>7037.8559999999998</v>
      </c>
      <c r="Q93" s="239">
        <f>SUM(HR!D93)</f>
        <v>7037.8559999999998</v>
      </c>
      <c r="R93" s="239">
        <f>SUM(IT!C93)</f>
        <v>3518.9279999999999</v>
      </c>
      <c r="S93" s="238"/>
      <c r="T93" s="240">
        <f t="shared" ref="T93:T101" si="20">SUM(C93:R93)</f>
        <v>70378.559999999998</v>
      </c>
      <c r="V93" s="107">
        <v>58312.68</v>
      </c>
      <c r="W93" s="282">
        <f>SUM(Sheet1!O93)</f>
        <v>69040.012641509442</v>
      </c>
    </row>
    <row r="94" spans="1:23" ht="12">
      <c r="A94" s="31" t="s">
        <v>26</v>
      </c>
      <c r="B94" s="31" t="s">
        <v>34</v>
      </c>
      <c r="C94" s="238">
        <f>+C$7*8.74*2*1.02*12</f>
        <v>427.91039999999998</v>
      </c>
      <c r="D94" s="239">
        <f>SUM('AC-SVC'!C94)</f>
        <v>143.34998400000001</v>
      </c>
      <c r="E94" s="239">
        <f>SUM('AC-SVC'!P94)</f>
        <v>143.34998400000001</v>
      </c>
      <c r="F94" s="248">
        <f>SUM(DID!C94)</f>
        <v>213.95519999999999</v>
      </c>
      <c r="G94" s="238">
        <f t="shared" ref="G94:I94" si="21">+G$7*8.74*2*1.02*12</f>
        <v>213.95519999999999</v>
      </c>
      <c r="H94" s="238">
        <f t="shared" si="21"/>
        <v>213.95519999999999</v>
      </c>
      <c r="I94" s="238">
        <f t="shared" si="21"/>
        <v>213.95519999999999</v>
      </c>
      <c r="J94" s="239">
        <f>SUM(FC!C94)</f>
        <v>213.95519999999999</v>
      </c>
      <c r="K94" s="239">
        <f>SUM(FN!D94)</f>
        <v>213.95519999999999</v>
      </c>
      <c r="L94" s="239">
        <f>SUM(FN!E94)</f>
        <v>213.95519999999999</v>
      </c>
      <c r="M94" s="239">
        <f>SUM(FN!F94)</f>
        <v>213.95519999999999</v>
      </c>
      <c r="N94" s="239">
        <f>SUM(FN!G94)</f>
        <v>427.91039999999998</v>
      </c>
      <c r="O94" s="239">
        <f>SUM(FS!C94)</f>
        <v>213.95519999999999</v>
      </c>
      <c r="P94" s="239">
        <f>SUM(HR!C94)</f>
        <v>427.91039999999998</v>
      </c>
      <c r="Q94" s="239">
        <f>SUM(HR!D94)</f>
        <v>427.91039999999998</v>
      </c>
      <c r="R94" s="239">
        <f>SUM(IT!C94)</f>
        <v>213.95519999999999</v>
      </c>
      <c r="S94" s="238"/>
      <c r="T94" s="240">
        <f t="shared" si="20"/>
        <v>4137.8935679999995</v>
      </c>
      <c r="V94" s="107">
        <v>3900.39</v>
      </c>
      <c r="W94" s="282">
        <f>SUM(Sheet1!O94)</f>
        <v>4617.9145754716974</v>
      </c>
    </row>
    <row r="95" spans="1:23" ht="12">
      <c r="A95" s="31" t="s">
        <v>28</v>
      </c>
      <c r="B95" s="31" t="s">
        <v>27</v>
      </c>
      <c r="C95" s="238">
        <f>(+C$88-C$84+C$80)*0.062</f>
        <v>11624.849691463145</v>
      </c>
      <c r="D95" s="239">
        <f>SUM('AC-SVC'!C95)</f>
        <v>4509.609619684079</v>
      </c>
      <c r="E95" s="239">
        <f>SUM('AC-SVC'!P95)</f>
        <v>3446.0662358339086</v>
      </c>
      <c r="F95" s="248">
        <f>SUM(DID!C95)</f>
        <v>3932.04</v>
      </c>
      <c r="G95" s="238">
        <f t="shared" ref="G95:I95" si="22">(+G$88-G$84+G$80)*0.062</f>
        <v>2864.4</v>
      </c>
      <c r="H95" s="238">
        <f t="shared" si="22"/>
        <v>2750.3820000000001</v>
      </c>
      <c r="I95" s="238">
        <f t="shared" si="22"/>
        <v>2604</v>
      </c>
      <c r="J95" s="239">
        <f>SUM(FC!C95)</f>
        <v>3972.5690438017723</v>
      </c>
      <c r="K95" s="239">
        <f>SUM(FN!D95)</f>
        <v>4044.7968698706586</v>
      </c>
      <c r="L95" s="239">
        <f>SUM(FN!E95)</f>
        <v>3255.9021000000002</v>
      </c>
      <c r="M95" s="239">
        <f>SUM(FN!F95)</f>
        <v>2750.4372218602916</v>
      </c>
      <c r="N95" s="239">
        <f>SUM(FN!G95)</f>
        <v>3656.285824</v>
      </c>
      <c r="O95" s="239">
        <f>SUM(FS!C95)</f>
        <v>3720.8939618840436</v>
      </c>
      <c r="P95" s="239">
        <f>SUM(HR!C95)</f>
        <v>4624.1111843940162</v>
      </c>
      <c r="Q95" s="239">
        <f>SUM(HR!D95)</f>
        <v>6728.912291534436</v>
      </c>
      <c r="R95" s="239">
        <f>SUM(IT!C95)</f>
        <v>3313.9</v>
      </c>
      <c r="S95" s="238"/>
      <c r="T95" s="240">
        <f t="shared" si="20"/>
        <v>67799.156044326359</v>
      </c>
      <c r="V95" s="107">
        <v>60726.66</v>
      </c>
      <c r="W95" s="282">
        <f>SUM(Sheet1!O95)</f>
        <v>71898.073867924541</v>
      </c>
    </row>
    <row r="96" spans="1:23" ht="12">
      <c r="A96" s="31" t="s">
        <v>30</v>
      </c>
      <c r="B96" s="31" t="s">
        <v>29</v>
      </c>
      <c r="C96" s="238">
        <f>(+C$88-C$84+C$80)*0.0145</f>
        <v>2718.7148471970258</v>
      </c>
      <c r="D96" s="239">
        <f>SUM('AC-SVC'!C96)</f>
        <v>1054.6667658938572</v>
      </c>
      <c r="E96" s="239">
        <f>SUM('AC-SVC'!P96)</f>
        <v>805.93484547728519</v>
      </c>
      <c r="F96" s="248">
        <f>SUM(DID!C96)</f>
        <v>919.59</v>
      </c>
      <c r="G96" s="238">
        <f t="shared" ref="G96:I96" si="23">(+G$88-G$84+G$80)*0.0145</f>
        <v>669.9</v>
      </c>
      <c r="H96" s="238">
        <f t="shared" si="23"/>
        <v>643.23450000000003</v>
      </c>
      <c r="I96" s="238">
        <f t="shared" si="23"/>
        <v>609</v>
      </c>
      <c r="J96" s="239">
        <f>SUM(FC!C96)</f>
        <v>929.06856669557578</v>
      </c>
      <c r="K96" s="239">
        <f>SUM(FN!D96)</f>
        <v>945.96055827620239</v>
      </c>
      <c r="L96" s="239">
        <f>SUM(FN!E96)</f>
        <v>761.46097500000008</v>
      </c>
      <c r="M96" s="239">
        <f>SUM(FN!F96)</f>
        <v>643.247414789907</v>
      </c>
      <c r="N96" s="239">
        <f>SUM(FN!G96)</f>
        <v>855.09910400000001</v>
      </c>
      <c r="O96" s="239">
        <f>SUM(FS!C96)</f>
        <v>870.20907173094577</v>
      </c>
      <c r="P96" s="239">
        <f>SUM(HR!C96)</f>
        <v>1081.445357640536</v>
      </c>
      <c r="Q96" s="239">
        <f>SUM(HR!D96)</f>
        <v>1573.6972294717632</v>
      </c>
      <c r="R96" s="239">
        <f>SUM(IT!C96)</f>
        <v>775.02500000000009</v>
      </c>
      <c r="S96" s="238"/>
      <c r="T96" s="240">
        <f t="shared" si="20"/>
        <v>15856.254236173099</v>
      </c>
      <c r="V96" s="107"/>
      <c r="W96" s="282">
        <f>SUM(Sheet1!O96)</f>
        <v>0</v>
      </c>
    </row>
    <row r="97" spans="1:23" ht="12">
      <c r="A97" s="31" t="s">
        <v>31</v>
      </c>
      <c r="B97" s="31" t="s">
        <v>32</v>
      </c>
      <c r="C97" s="238">
        <f>(+C$88-C$84+C$80)*0.06</f>
        <v>11249.854540125623</v>
      </c>
      <c r="D97" s="239">
        <f>SUM('AC-SVC'!C97)</f>
        <v>2836.68992205934</v>
      </c>
      <c r="E97" s="239">
        <f>SUM('AC-SVC'!P97)</f>
        <v>2167.686825766491</v>
      </c>
      <c r="F97" s="248">
        <f>SUM(DID!C97)</f>
        <v>3805.2</v>
      </c>
      <c r="G97" s="238">
        <f t="shared" ref="G97:I97" si="24">(+G$88-G$84+G$80)*0.06</f>
        <v>2772</v>
      </c>
      <c r="H97" s="238">
        <f t="shared" si="24"/>
        <v>2661.66</v>
      </c>
      <c r="I97" s="238">
        <f t="shared" si="24"/>
        <v>2520</v>
      </c>
      <c r="J97" s="239">
        <f>SUM(FC!C97)</f>
        <v>3844.4216552920375</v>
      </c>
      <c r="K97" s="239">
        <f>SUM(FN!D97)</f>
        <v>3914.3195514877339</v>
      </c>
      <c r="L97" s="239">
        <f>SUM(FN!E97)</f>
        <v>3150.873</v>
      </c>
      <c r="M97" s="239">
        <f>SUM(FN!F97)</f>
        <v>2661.7134405099596</v>
      </c>
      <c r="N97" s="239">
        <f>SUM(FN!G97)</f>
        <v>3538.3411199999996</v>
      </c>
      <c r="O97" s="239">
        <f>SUM(FS!C97)</f>
        <v>3600.8651244039133</v>
      </c>
      <c r="P97" s="239">
        <f>SUM(HR!C97)</f>
        <v>4474.9463074780797</v>
      </c>
      <c r="Q97" s="239">
        <f>SUM(HR!D97)</f>
        <v>6511.8506047107439</v>
      </c>
      <c r="R97" s="239">
        <f>SUM(IT!C97)</f>
        <v>3207</v>
      </c>
      <c r="S97" s="238"/>
      <c r="T97" s="240">
        <f t="shared" si="20"/>
        <v>62917.42209183392</v>
      </c>
      <c r="V97" s="107">
        <v>37029.120000000003</v>
      </c>
      <c r="W97" s="282">
        <f>SUM(Sheet1!O97)</f>
        <v>43841.08075471699</v>
      </c>
    </row>
    <row r="98" spans="1:23" ht="12">
      <c r="A98" s="31" t="s">
        <v>36</v>
      </c>
      <c r="B98" s="31" t="s">
        <v>35</v>
      </c>
      <c r="C98" s="238">
        <f>(+C$88-C$84+C$80)*0.0056</f>
        <v>1049.9864237450583</v>
      </c>
      <c r="D98" s="239">
        <f>SUM('AC-SVC'!C98)</f>
        <v>407.31957855211039</v>
      </c>
      <c r="E98" s="239">
        <f>SUM('AC-SVC'!P98)</f>
        <v>311.25759549467563</v>
      </c>
      <c r="F98" s="248">
        <f>SUM(DID!C98)</f>
        <v>355.15199999999999</v>
      </c>
      <c r="G98" s="238">
        <f t="shared" ref="G98:I98" si="25">(+G$88-G$84+G$80)*0.0056</f>
        <v>258.71999999999997</v>
      </c>
      <c r="H98" s="238">
        <f t="shared" si="25"/>
        <v>248.42159999999998</v>
      </c>
      <c r="I98" s="238">
        <f t="shared" si="25"/>
        <v>235.2</v>
      </c>
      <c r="J98" s="239">
        <f>SUM(FC!C98)</f>
        <v>358.81268782725687</v>
      </c>
      <c r="K98" s="239">
        <f>SUM(FN!D98)</f>
        <v>365.33649147218853</v>
      </c>
      <c r="L98" s="239">
        <f>SUM(FN!E98)</f>
        <v>294.08148</v>
      </c>
      <c r="M98" s="239">
        <f>SUM(FN!F98)</f>
        <v>248.42658778092957</v>
      </c>
      <c r="N98" s="239">
        <f>SUM(FN!G98)</f>
        <v>330.24517120000002</v>
      </c>
      <c r="O98" s="239">
        <f>SUM(FS!C98)</f>
        <v>336.08074494436522</v>
      </c>
      <c r="P98" s="239">
        <f>SUM(HR!C98)</f>
        <v>417.6616553646208</v>
      </c>
      <c r="Q98" s="239">
        <f>SUM(HR!D98)</f>
        <v>607.77272310633612</v>
      </c>
      <c r="R98" s="239">
        <f>SUM(IT!C98)</f>
        <v>299.32</v>
      </c>
      <c r="S98" s="238"/>
      <c r="T98" s="240">
        <f t="shared" si="20"/>
        <v>6123.7947394875409</v>
      </c>
      <c r="V98" s="107">
        <v>4509.45</v>
      </c>
      <c r="W98" s="282">
        <f>SUM(Sheet1!O98)</f>
        <v>5339.0186320754719</v>
      </c>
    </row>
    <row r="99" spans="1:23" ht="12">
      <c r="A99" s="31" t="s">
        <v>38</v>
      </c>
      <c r="B99" s="31" t="s">
        <v>37</v>
      </c>
      <c r="C99" s="238">
        <f>+C$7*7700*0.0201</f>
        <v>309.54000000000002</v>
      </c>
      <c r="D99" s="239">
        <f>SUM('AC-SVC'!C99)</f>
        <v>154.77000000000001</v>
      </c>
      <c r="E99" s="239">
        <f>SUM('AC-SVC'!P99)</f>
        <v>154.77000000000001</v>
      </c>
      <c r="F99" s="248">
        <f>SUM(DID!C99)</f>
        <v>154.77000000000001</v>
      </c>
      <c r="G99" s="238">
        <f t="shared" ref="G99:I99" si="26">+G$7*7700*0.0201</f>
        <v>154.77000000000001</v>
      </c>
      <c r="H99" s="238">
        <f t="shared" si="26"/>
        <v>154.77000000000001</v>
      </c>
      <c r="I99" s="238">
        <f t="shared" si="26"/>
        <v>154.77000000000001</v>
      </c>
      <c r="J99" s="239">
        <f>SUM(FC!C99)</f>
        <v>154.77000000000001</v>
      </c>
      <c r="K99" s="239">
        <f>SUM(FN!D99)</f>
        <v>154.77000000000001</v>
      </c>
      <c r="L99" s="239">
        <f>SUM(FN!E99)</f>
        <v>154.77000000000001</v>
      </c>
      <c r="M99" s="239">
        <f>SUM(FN!F99)</f>
        <v>154.77000000000001</v>
      </c>
      <c r="N99" s="239">
        <f>SUM(FN!G99)</f>
        <v>309.54000000000002</v>
      </c>
      <c r="O99" s="239">
        <f>SUM(FS!C99)</f>
        <v>154.77000000000001</v>
      </c>
      <c r="P99" s="239">
        <f>SUM(HR!C99)</f>
        <v>309.54000000000002</v>
      </c>
      <c r="Q99" s="239">
        <f>SUM(HR!D99)</f>
        <v>309.54000000000002</v>
      </c>
      <c r="R99" s="239">
        <f>SUM(IT!C99)</f>
        <v>154.77000000000001</v>
      </c>
      <c r="S99" s="238"/>
      <c r="T99" s="240">
        <f t="shared" si="20"/>
        <v>3095.4</v>
      </c>
      <c r="V99" s="107">
        <v>4831.7</v>
      </c>
      <c r="W99" s="282">
        <f>SUM(Sheet1!O99)</f>
        <v>5720.5504716981131</v>
      </c>
    </row>
    <row r="100" spans="1:23" ht="12">
      <c r="A100" s="31" t="s">
        <v>83</v>
      </c>
      <c r="B100" s="31" t="s">
        <v>84</v>
      </c>
      <c r="C100" s="238"/>
      <c r="D100" s="239">
        <f>SUM('AC-SVC'!C100)</f>
        <v>0</v>
      </c>
      <c r="E100" s="239">
        <f>SUM('AC-SVC'!P100)</f>
        <v>2000</v>
      </c>
      <c r="F100" s="248">
        <f>SUM(DID!C100)</f>
        <v>0</v>
      </c>
      <c r="G100" s="238"/>
      <c r="H100" s="238"/>
      <c r="I100" s="238"/>
      <c r="J100" s="239">
        <f>SUM(FC!C100)</f>
        <v>0</v>
      </c>
      <c r="K100" s="239">
        <f>SUM(FN!D100)</f>
        <v>0</v>
      </c>
      <c r="L100" s="239">
        <f>SUM(FN!E100)</f>
        <v>0</v>
      </c>
      <c r="M100" s="239">
        <f>SUM(FN!F100)</f>
        <v>0</v>
      </c>
      <c r="N100" s="239">
        <f>SUM(FN!G100)</f>
        <v>0</v>
      </c>
      <c r="O100" s="239">
        <f>SUM(FS!C100)</f>
        <v>0</v>
      </c>
      <c r="P100" s="239">
        <f>SUM(HR!C100)</f>
        <v>0</v>
      </c>
      <c r="Q100" s="239">
        <f>SUM(HR!D100)</f>
        <v>1200</v>
      </c>
      <c r="R100" s="239">
        <f>SUM(IT!C100)</f>
        <v>0</v>
      </c>
      <c r="S100" s="238"/>
      <c r="T100" s="240">
        <f t="shared" si="20"/>
        <v>3200</v>
      </c>
      <c r="V100" s="107"/>
      <c r="W100" s="282">
        <f>SUM(Sheet1!O100)</f>
        <v>0</v>
      </c>
    </row>
    <row r="101" spans="1:23" ht="12">
      <c r="A101" s="31" t="s">
        <v>39</v>
      </c>
      <c r="B101" s="31" t="s">
        <v>40</v>
      </c>
      <c r="C101" s="241">
        <f>(+C$88-C$84+C$80)*(0.0024+0.0036+0.0013)</f>
        <v>1368.7323023819508</v>
      </c>
      <c r="D101" s="241">
        <f>SUM('AC-SVC'!C101)</f>
        <v>530.97016489828673</v>
      </c>
      <c r="E101" s="241">
        <f>SUM('AC-SVC'!P101)</f>
        <v>405.74650841270216</v>
      </c>
      <c r="F101" s="249">
        <f>SUM(DID!C101)</f>
        <v>462.96600000000001</v>
      </c>
      <c r="G101" s="241">
        <f t="shared" ref="G101:I101" si="27">(+G$88-G$84+G$80)*(0.0024+0.0036+0.0013)</f>
        <v>337.26</v>
      </c>
      <c r="H101" s="241">
        <f t="shared" si="27"/>
        <v>323.83530000000002</v>
      </c>
      <c r="I101" s="241">
        <f t="shared" si="27"/>
        <v>306.60000000000002</v>
      </c>
      <c r="J101" s="241">
        <f>SUM(FC!C101)</f>
        <v>467.73796806053127</v>
      </c>
      <c r="K101" s="241">
        <f>SUM(FN!D101)</f>
        <v>476.24221209767433</v>
      </c>
      <c r="L101" s="241">
        <f>SUM(FN!E101)</f>
        <v>383.35621500000002</v>
      </c>
      <c r="M101" s="241">
        <f>SUM(FN!F101)</f>
        <v>323.84180192871179</v>
      </c>
      <c r="N101" s="241">
        <f>SUM(FN!G101)</f>
        <v>430.49816959999998</v>
      </c>
      <c r="O101" s="241">
        <f>SUM(FS!C101)</f>
        <v>438.10525680247611</v>
      </c>
      <c r="P101" s="241">
        <f>SUM(HR!C101)</f>
        <v>544.45180074316647</v>
      </c>
      <c r="Q101" s="241">
        <f>SUM(HR!D101)</f>
        <v>792.27515690647385</v>
      </c>
      <c r="R101" s="241">
        <f>SUM(IT!C101)</f>
        <v>390.185</v>
      </c>
      <c r="S101" s="238"/>
      <c r="T101" s="242">
        <f t="shared" si="20"/>
        <v>7982.8038568319735</v>
      </c>
      <c r="V101" s="108">
        <v>4042.31</v>
      </c>
      <c r="W101" s="283">
        <f>SUM(Sheet1!O101)</f>
        <v>4785.9425000000001</v>
      </c>
    </row>
    <row r="102" spans="1:23" ht="10">
      <c r="B102" s="31" t="s">
        <v>234</v>
      </c>
      <c r="C102" s="238">
        <f>SUM(C93:C101)</f>
        <v>35787.444204912797</v>
      </c>
      <c r="D102" s="238">
        <f>SUM(D93:D101)</f>
        <v>13156.304035087674</v>
      </c>
      <c r="E102" s="238">
        <f>SUM(E93:E101)</f>
        <v>12953.739994985062</v>
      </c>
      <c r="F102" s="248">
        <f>SUM(DID!C102)</f>
        <v>13362.601199999999</v>
      </c>
      <c r="G102" s="238">
        <f t="shared" ref="G102:R102" si="28">SUM(G93:G101)</f>
        <v>10789.933199999999</v>
      </c>
      <c r="H102" s="238">
        <f t="shared" si="28"/>
        <v>10515.186600000001</v>
      </c>
      <c r="I102" s="238">
        <f t="shared" ref="I102" si="29">SUM(I93:I101)</f>
        <v>10162.453200000002</v>
      </c>
      <c r="J102" s="238">
        <f t="shared" si="28"/>
        <v>13460.263121677173</v>
      </c>
      <c r="K102" s="238">
        <f t="shared" si="28"/>
        <v>13634.308883204456</v>
      </c>
      <c r="L102" s="238">
        <f t="shared" si="28"/>
        <v>11733.32697</v>
      </c>
      <c r="M102" s="238">
        <f t="shared" si="28"/>
        <v>10515.319666869798</v>
      </c>
      <c r="N102" s="238">
        <f t="shared" si="28"/>
        <v>16585.775788800001</v>
      </c>
      <c r="O102" s="238">
        <f t="shared" si="28"/>
        <v>12853.807359765746</v>
      </c>
      <c r="P102" s="238">
        <f>SUM(P93:P101)</f>
        <v>18917.922705620418</v>
      </c>
      <c r="Q102" s="238">
        <f t="shared" si="28"/>
        <v>25189.814405729754</v>
      </c>
      <c r="R102" s="238">
        <f t="shared" si="28"/>
        <v>11873.083199999999</v>
      </c>
      <c r="S102" s="238"/>
      <c r="T102" s="244">
        <f>SUM(T93:T101)</f>
        <v>241491.28453665291</v>
      </c>
      <c r="V102" s="106">
        <v>173352.31000000003</v>
      </c>
      <c r="W102" s="278">
        <f>SUM(W93:W101)</f>
        <v>205242.59344339627</v>
      </c>
    </row>
    <row r="103" spans="1:23">
      <c r="C103" s="238"/>
      <c r="D103" s="238"/>
      <c r="E103" s="238"/>
      <c r="F103" s="248">
        <f>SUM(DID!C103)</f>
        <v>0</v>
      </c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44"/>
      <c r="V103" s="106"/>
    </row>
    <row r="104" spans="1:23" s="245" customFormat="1" ht="12">
      <c r="A104" s="35"/>
      <c r="B104" s="35" t="s">
        <v>235</v>
      </c>
      <c r="C104" s="243">
        <f>SUM(C90+C102)</f>
        <v>223285.01987367321</v>
      </c>
      <c r="D104" s="243">
        <f>SUM(D90+D102)</f>
        <v>85891.94306225024</v>
      </c>
      <c r="E104" s="243">
        <f>SUM(E90+E102)</f>
        <v>68535.453476177136</v>
      </c>
      <c r="F104" s="248">
        <f>SUM(DID!C104)</f>
        <v>76782.601200000005</v>
      </c>
      <c r="G104" s="243">
        <f t="shared" ref="G104:R104" si="30">SUM(G90+G102)</f>
        <v>56989.933199999999</v>
      </c>
      <c r="H104" s="243">
        <f t="shared" si="30"/>
        <v>54876.186600000001</v>
      </c>
      <c r="I104" s="243">
        <f t="shared" ref="I104" si="31">SUM(I90+I102)</f>
        <v>52162.453200000004</v>
      </c>
      <c r="J104" s="243">
        <f t="shared" si="30"/>
        <v>77533.957376544466</v>
      </c>
      <c r="K104" s="243">
        <f t="shared" si="30"/>
        <v>78872.968074666685</v>
      </c>
      <c r="L104" s="243">
        <f t="shared" si="30"/>
        <v>64247.876970000005</v>
      </c>
      <c r="M104" s="243">
        <f t="shared" si="30"/>
        <v>54877.210342035796</v>
      </c>
      <c r="N104" s="243">
        <f t="shared" si="30"/>
        <v>75558.127788800004</v>
      </c>
      <c r="O104" s="243">
        <f t="shared" si="30"/>
        <v>72868.226099830965</v>
      </c>
      <c r="P104" s="243">
        <f>SUM(P90+P102)</f>
        <v>93500.361163588415</v>
      </c>
      <c r="Q104" s="243">
        <f t="shared" si="30"/>
        <v>133720.6578175755</v>
      </c>
      <c r="R104" s="243">
        <f t="shared" si="30"/>
        <v>65323.083200000001</v>
      </c>
      <c r="S104" s="243"/>
      <c r="T104" s="243">
        <f>+T90+T102</f>
        <v>1335026.0594451425</v>
      </c>
      <c r="V104" s="106">
        <v>1004432.0100000001</v>
      </c>
      <c r="W104" s="280">
        <f>SUM(W80+W88+W102)</f>
        <v>1240101.1781019205</v>
      </c>
    </row>
    <row r="105" spans="1:23">
      <c r="C105" s="238"/>
      <c r="D105" s="238"/>
      <c r="E105" s="238"/>
      <c r="F105" s="248">
        <f>SUM(DID!C105)</f>
        <v>0</v>
      </c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44"/>
      <c r="V105" s="106"/>
    </row>
    <row r="106" spans="1:23">
      <c r="A106" s="31" t="s">
        <v>236</v>
      </c>
      <c r="C106" s="238"/>
      <c r="D106" s="238"/>
      <c r="E106" s="238"/>
      <c r="F106" s="248">
        <f>SUM(DID!C106)</f>
        <v>0</v>
      </c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44"/>
      <c r="V106" s="106"/>
    </row>
    <row r="107" spans="1:23">
      <c r="A107" s="31" t="s">
        <v>237</v>
      </c>
      <c r="C107" s="238"/>
      <c r="D107" s="238"/>
      <c r="E107" s="238"/>
      <c r="F107" s="248">
        <f>SUM(DID!C107)</f>
        <v>0</v>
      </c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44"/>
      <c r="V107" s="106"/>
    </row>
    <row r="108" spans="1:23" ht="12">
      <c r="A108" s="31" t="s">
        <v>51</v>
      </c>
      <c r="B108" s="31" t="s">
        <v>50</v>
      </c>
      <c r="C108" s="238">
        <v>10500</v>
      </c>
      <c r="D108" s="239">
        <f>SUM('AC-SVC'!C108)</f>
        <v>0</v>
      </c>
      <c r="E108" s="239">
        <f>SUM('AC-SVC'!P108)</f>
        <v>0</v>
      </c>
      <c r="F108" s="248">
        <f>SUM(DID!C108)</f>
        <v>0</v>
      </c>
      <c r="G108" s="239">
        <f>SUM(DID!D108)</f>
        <v>0</v>
      </c>
      <c r="H108" s="239">
        <f>SUM(DID!E108)</f>
        <v>0</v>
      </c>
      <c r="I108" s="239">
        <f>SUM(DID!F108)</f>
        <v>0</v>
      </c>
      <c r="J108" s="239">
        <f>SUM(FC!C108)</f>
        <v>24960</v>
      </c>
      <c r="K108" s="239">
        <f>SUM(FN!D108)</f>
        <v>45000</v>
      </c>
      <c r="L108" s="239">
        <f>SUM(FN!E108)</f>
        <v>0</v>
      </c>
      <c r="M108" s="239">
        <f>SUM(FN!F108)</f>
        <v>0</v>
      </c>
      <c r="N108" s="239">
        <f>SUM(FN!G108)</f>
        <v>0</v>
      </c>
      <c r="O108" s="239">
        <f>SUM(FS!C108)</f>
        <v>0</v>
      </c>
      <c r="P108" s="239">
        <f>SUM(HR!C108)</f>
        <v>0</v>
      </c>
      <c r="Q108" s="239">
        <f>SUM(HR!D108)</f>
        <v>0</v>
      </c>
      <c r="R108" s="239">
        <f>SUM(IT!C108)</f>
        <v>49500</v>
      </c>
      <c r="S108" s="238"/>
      <c r="T108" s="240">
        <f t="shared" ref="T108:T121" si="32">SUM(C108:R108)</f>
        <v>129960</v>
      </c>
      <c r="V108" s="107">
        <v>172809.57</v>
      </c>
      <c r="W108" s="282">
        <f>SUM(Sheet1!O108)</f>
        <v>204600.00976415095</v>
      </c>
    </row>
    <row r="109" spans="1:23" ht="12">
      <c r="A109" s="31" t="s">
        <v>41</v>
      </c>
      <c r="B109" s="31" t="s">
        <v>42</v>
      </c>
      <c r="C109" s="238"/>
      <c r="D109" s="239">
        <f>SUM('AC-SVC'!C109)</f>
        <v>0</v>
      </c>
      <c r="E109" s="239">
        <f>SUM('AC-SVC'!P109)</f>
        <v>1200</v>
      </c>
      <c r="F109" s="248">
        <f>SUM(DID!C109)</f>
        <v>0</v>
      </c>
      <c r="G109" s="239">
        <f>SUM(DID!D109)</f>
        <v>0</v>
      </c>
      <c r="H109" s="239">
        <f>SUM(DID!E109)</f>
        <v>0</v>
      </c>
      <c r="I109" s="239">
        <f>SUM(DID!F109)</f>
        <v>0</v>
      </c>
      <c r="J109" s="239">
        <f>SUM(FC!C109)</f>
        <v>0</v>
      </c>
      <c r="K109" s="239">
        <f>SUM(FN!D109)</f>
        <v>0</v>
      </c>
      <c r="L109" s="239">
        <f>SUM(FN!E109)</f>
        <v>0</v>
      </c>
      <c r="M109" s="239">
        <f>SUM(FN!F109)</f>
        <v>0</v>
      </c>
      <c r="N109" s="239">
        <f>SUM(FN!G109)</f>
        <v>0</v>
      </c>
      <c r="O109" s="239">
        <f>SUM(FS!C109)</f>
        <v>0</v>
      </c>
      <c r="P109" s="239">
        <f>SUM(HR!C109)</f>
        <v>0</v>
      </c>
      <c r="Q109" s="239">
        <f>SUM(HR!D109)</f>
        <v>0</v>
      </c>
      <c r="R109" s="239">
        <f>SUM(IT!C109)</f>
        <v>0</v>
      </c>
      <c r="S109" s="238"/>
      <c r="T109" s="240">
        <f t="shared" si="32"/>
        <v>1200</v>
      </c>
      <c r="V109" s="107">
        <v>0</v>
      </c>
      <c r="W109" s="282">
        <f>SUM(Sheet1!O109)</f>
        <v>0</v>
      </c>
    </row>
    <row r="110" spans="1:23" ht="12">
      <c r="A110" s="31" t="s">
        <v>43</v>
      </c>
      <c r="B110" s="31" t="s">
        <v>238</v>
      </c>
      <c r="C110" s="238">
        <v>20000</v>
      </c>
      <c r="D110" s="239">
        <f>SUM('AC-SVC'!C110)</f>
        <v>0</v>
      </c>
      <c r="E110" s="239">
        <f>SUM('AC-SVC'!P110)</f>
        <v>1500</v>
      </c>
      <c r="F110" s="248">
        <f>SUM(DID!C110)</f>
        <v>1000</v>
      </c>
      <c r="G110" s="239">
        <f>SUM(DID!D110)</f>
        <v>1000</v>
      </c>
      <c r="H110" s="239">
        <f>SUM(DID!E110)</f>
        <v>1000</v>
      </c>
      <c r="I110" s="239">
        <f>SUM(DID!F110)</f>
        <v>1000</v>
      </c>
      <c r="J110" s="239">
        <f>SUM(FC!C110)</f>
        <v>1500</v>
      </c>
      <c r="K110" s="239">
        <f>SUM(FN!D110)</f>
        <v>2500</v>
      </c>
      <c r="L110" s="239">
        <f>SUM(FN!E110)</f>
        <v>2500</v>
      </c>
      <c r="M110" s="239">
        <f>SUM(FN!F110)</f>
        <v>1000</v>
      </c>
      <c r="N110" s="239">
        <f>SUM(FN!G110)</f>
        <v>1000</v>
      </c>
      <c r="O110" s="239">
        <f>SUM(FS!C110)</f>
        <v>2000</v>
      </c>
      <c r="P110" s="239">
        <f>SUM(HR!C110)</f>
        <v>2250</v>
      </c>
      <c r="Q110" s="239">
        <f>SUM(HR!D110)</f>
        <v>3000</v>
      </c>
      <c r="R110" s="239">
        <f>SUM(IT!C110)</f>
        <v>3000</v>
      </c>
      <c r="S110" s="238"/>
      <c r="T110" s="240">
        <f t="shared" si="32"/>
        <v>44250</v>
      </c>
      <c r="V110" s="107">
        <v>34638</v>
      </c>
      <c r="W110" s="282">
        <f>SUM(Sheet1!O110)</f>
        <v>41010.084905660377</v>
      </c>
    </row>
    <row r="111" spans="1:23" ht="12">
      <c r="A111" s="31" t="s">
        <v>44</v>
      </c>
      <c r="B111" s="31" t="s">
        <v>45</v>
      </c>
      <c r="C111" s="238">
        <v>10000</v>
      </c>
      <c r="D111" s="239">
        <f>SUM('AC-SVC'!C111)</f>
        <v>0</v>
      </c>
      <c r="E111" s="239">
        <f>SUM('AC-SVC'!P111)</f>
        <v>1200</v>
      </c>
      <c r="F111" s="248">
        <f>SUM(DID!C111)</f>
        <v>0</v>
      </c>
      <c r="G111" s="239">
        <f>SUM(DID!D111)</f>
        <v>0</v>
      </c>
      <c r="H111" s="239">
        <f>SUM(DID!E111)</f>
        <v>0</v>
      </c>
      <c r="I111" s="239">
        <f>SUM(DID!F111)</f>
        <v>0</v>
      </c>
      <c r="J111" s="239">
        <f>SUM(FC!C111)</f>
        <v>0</v>
      </c>
      <c r="K111" s="239">
        <f>SUM(FN!D111)</f>
        <v>0</v>
      </c>
      <c r="L111" s="239">
        <f>SUM(FN!E111)</f>
        <v>0</v>
      </c>
      <c r="M111" s="239">
        <f>SUM(FN!F111)</f>
        <v>0</v>
      </c>
      <c r="N111" s="239">
        <f>SUM(FN!G111)</f>
        <v>0</v>
      </c>
      <c r="O111" s="239">
        <f>SUM(FS!C111)</f>
        <v>0</v>
      </c>
      <c r="P111" s="239">
        <f>SUM(HR!C111)</f>
        <v>0</v>
      </c>
      <c r="Q111" s="239">
        <f>SUM(HR!D111)</f>
        <v>0</v>
      </c>
      <c r="R111" s="239">
        <f>SUM(IT!C111)</f>
        <v>0</v>
      </c>
      <c r="S111" s="238"/>
      <c r="T111" s="240">
        <f t="shared" si="32"/>
        <v>11200</v>
      </c>
      <c r="V111" s="107"/>
      <c r="W111" s="282">
        <f>SUM(Sheet1!O111)</f>
        <v>0</v>
      </c>
    </row>
    <row r="112" spans="1:23" ht="12">
      <c r="A112" s="31" t="s">
        <v>46</v>
      </c>
      <c r="B112" s="31" t="s">
        <v>239</v>
      </c>
      <c r="C112" s="238">
        <v>25000</v>
      </c>
      <c r="D112" s="239">
        <f>SUM('AC-SVC'!C112)</f>
        <v>0</v>
      </c>
      <c r="E112" s="239">
        <f>SUM('AC-SVC'!P112)</f>
        <v>0</v>
      </c>
      <c r="F112" s="248">
        <f>SUM(DID!C112)</f>
        <v>0</v>
      </c>
      <c r="G112" s="239">
        <f>SUM(DID!D112)</f>
        <v>0</v>
      </c>
      <c r="H112" s="239">
        <f>SUM(DID!E112)</f>
        <v>0</v>
      </c>
      <c r="I112" s="239">
        <f>SUM(DID!F112)</f>
        <v>0</v>
      </c>
      <c r="J112" s="239">
        <f>SUM(FC!C112)</f>
        <v>0</v>
      </c>
      <c r="K112" s="239">
        <f>SUM(FN!D112)</f>
        <v>0</v>
      </c>
      <c r="L112" s="239">
        <f>SUM(FN!E112)</f>
        <v>0</v>
      </c>
      <c r="M112" s="239">
        <f>SUM(FN!F112)</f>
        <v>0</v>
      </c>
      <c r="N112" s="239">
        <f>SUM(FN!G112)</f>
        <v>0</v>
      </c>
      <c r="O112" s="239">
        <f>SUM(FS!C112)</f>
        <v>0</v>
      </c>
      <c r="P112" s="239">
        <f>SUM(HR!C112)</f>
        <v>0</v>
      </c>
      <c r="Q112" s="239">
        <f>SUM(HR!D112)</f>
        <v>18000</v>
      </c>
      <c r="R112" s="239">
        <f>SUM(IT!C112)</f>
        <v>0</v>
      </c>
      <c r="S112" s="238"/>
      <c r="T112" s="240">
        <f t="shared" si="32"/>
        <v>43000</v>
      </c>
      <c r="V112" s="107">
        <v>1639.47</v>
      </c>
      <c r="W112" s="282">
        <f>SUM(Sheet1!O112)</f>
        <v>1941.070613207547</v>
      </c>
    </row>
    <row r="113" spans="1:23" ht="12">
      <c r="A113" s="31" t="s">
        <v>47</v>
      </c>
      <c r="B113" s="31" t="s">
        <v>240</v>
      </c>
      <c r="C113" s="238"/>
      <c r="D113" s="239">
        <f>SUM('AC-SVC'!C113)</f>
        <v>0</v>
      </c>
      <c r="E113" s="239">
        <f>SUM('AC-SVC'!P113)</f>
        <v>0</v>
      </c>
      <c r="F113" s="248">
        <f>SUM(DID!C113)</f>
        <v>0</v>
      </c>
      <c r="G113" s="239">
        <f>SUM(DID!D113)</f>
        <v>0</v>
      </c>
      <c r="H113" s="239">
        <f>SUM(DID!E113)</f>
        <v>0</v>
      </c>
      <c r="I113" s="239">
        <f>SUM(DID!F113)</f>
        <v>0</v>
      </c>
      <c r="J113" s="239">
        <f>SUM(FC!C113)</f>
        <v>0</v>
      </c>
      <c r="K113" s="239">
        <f>SUM(FN!D113)</f>
        <v>32500</v>
      </c>
      <c r="L113" s="239">
        <f>SUM(FN!E113)</f>
        <v>0</v>
      </c>
      <c r="M113" s="239">
        <f>SUM(FN!F113)</f>
        <v>0</v>
      </c>
      <c r="N113" s="239">
        <f>SUM(FN!G113)</f>
        <v>0</v>
      </c>
      <c r="O113" s="239">
        <f>SUM(FS!C113)</f>
        <v>0</v>
      </c>
      <c r="P113" s="239">
        <f>SUM(HR!C113)</f>
        <v>0</v>
      </c>
      <c r="Q113" s="239">
        <f>SUM(HR!D113)</f>
        <v>0</v>
      </c>
      <c r="R113" s="239">
        <f>SUM(IT!C113)</f>
        <v>0</v>
      </c>
      <c r="S113" s="238"/>
      <c r="T113" s="240">
        <f t="shared" si="32"/>
        <v>32500</v>
      </c>
      <c r="V113" s="107">
        <v>12079.5</v>
      </c>
      <c r="W113" s="282">
        <f>SUM(Sheet1!O113)</f>
        <v>14301.672169811322</v>
      </c>
    </row>
    <row r="114" spans="1:23" ht="12">
      <c r="A114" s="31" t="s">
        <v>48</v>
      </c>
      <c r="B114" s="31" t="s">
        <v>49</v>
      </c>
      <c r="C114" s="238"/>
      <c r="D114" s="239">
        <f>SUM('AC-SVC'!C114)</f>
        <v>0</v>
      </c>
      <c r="E114" s="239">
        <f>SUM('AC-SVC'!P114)</f>
        <v>0</v>
      </c>
      <c r="F114" s="248">
        <f>SUM(DID!C114)</f>
        <v>0</v>
      </c>
      <c r="G114" s="239">
        <f>SUM(DID!D114)</f>
        <v>0</v>
      </c>
      <c r="H114" s="239">
        <f>SUM(DID!E114)</f>
        <v>0</v>
      </c>
      <c r="I114" s="239">
        <f>SUM(DID!F114)</f>
        <v>0</v>
      </c>
      <c r="J114" s="239">
        <f>SUM(FC!C114)</f>
        <v>0</v>
      </c>
      <c r="K114" s="239">
        <f>SUM(FN!D114)</f>
        <v>0</v>
      </c>
      <c r="L114" s="239">
        <f>SUM(FN!E114)</f>
        <v>0</v>
      </c>
      <c r="M114" s="239">
        <f>SUM(FN!F114)</f>
        <v>0</v>
      </c>
      <c r="N114" s="239">
        <f>SUM(FN!G114)</f>
        <v>0</v>
      </c>
      <c r="O114" s="239">
        <f>SUM(FS!C114)</f>
        <v>0</v>
      </c>
      <c r="P114" s="239">
        <f>SUM(HR!C114)</f>
        <v>0</v>
      </c>
      <c r="Q114" s="239">
        <f>SUM(HR!D114)</f>
        <v>0</v>
      </c>
      <c r="R114" s="239">
        <f>SUM(IT!C114)</f>
        <v>9000</v>
      </c>
      <c r="S114" s="238"/>
      <c r="T114" s="240">
        <f t="shared" si="32"/>
        <v>9000</v>
      </c>
      <c r="V114" s="107">
        <v>10055.64</v>
      </c>
      <c r="W114" s="282">
        <f>SUM(Sheet1!O114)</f>
        <v>11905.498301886792</v>
      </c>
    </row>
    <row r="115" spans="1:23" ht="12">
      <c r="A115" s="31" t="s">
        <v>82</v>
      </c>
      <c r="B115" s="31" t="s">
        <v>166</v>
      </c>
      <c r="C115" s="238"/>
      <c r="D115" s="239">
        <f>SUM('AC-SVC'!C115)</f>
        <v>0</v>
      </c>
      <c r="E115" s="239">
        <f>SUM('AC-SVC'!P115)</f>
        <v>0</v>
      </c>
      <c r="F115" s="248">
        <f>SUM(DID!C115)</f>
        <v>0</v>
      </c>
      <c r="G115" s="239">
        <f>SUM(DID!D115)</f>
        <v>0</v>
      </c>
      <c r="H115" s="239">
        <f>SUM(DID!E115)</f>
        <v>0</v>
      </c>
      <c r="I115" s="239">
        <f>SUM(DID!F115)</f>
        <v>0</v>
      </c>
      <c r="J115" s="239">
        <f>SUM(FC!C115)</f>
        <v>0</v>
      </c>
      <c r="K115" s="239">
        <f>SUM(FN!D115)</f>
        <v>0</v>
      </c>
      <c r="L115" s="239">
        <f>SUM(FN!E115)</f>
        <v>0</v>
      </c>
      <c r="M115" s="239">
        <f>SUM(FN!F115)</f>
        <v>0</v>
      </c>
      <c r="N115" s="239">
        <f>SUM(FN!G115)</f>
        <v>0</v>
      </c>
      <c r="O115" s="239">
        <f>SUM(FS!C115)</f>
        <v>0</v>
      </c>
      <c r="P115" s="239">
        <f>SUM(HR!C115)</f>
        <v>0</v>
      </c>
      <c r="Q115" s="239">
        <f>SUM(HR!D115)</f>
        <v>1000</v>
      </c>
      <c r="R115" s="239">
        <f>SUM(IT!C115)</f>
        <v>0</v>
      </c>
      <c r="S115" s="238"/>
      <c r="T115" s="240">
        <f t="shared" si="32"/>
        <v>1000</v>
      </c>
      <c r="V115" s="107">
        <v>5022</v>
      </c>
      <c r="W115" s="282">
        <f>SUM(Sheet1!O115)</f>
        <v>5945.8584905660373</v>
      </c>
    </row>
    <row r="116" spans="1:23" ht="12">
      <c r="A116" s="31" t="s">
        <v>104</v>
      </c>
      <c r="B116" s="31" t="s">
        <v>103</v>
      </c>
      <c r="C116" s="238"/>
      <c r="D116" s="239">
        <f>SUM('AC-SVC'!C116)</f>
        <v>0</v>
      </c>
      <c r="E116" s="239">
        <f>SUM('AC-SVC'!P116)</f>
        <v>0</v>
      </c>
      <c r="F116" s="248">
        <f>SUM(DID!C116)</f>
        <v>0</v>
      </c>
      <c r="G116" s="239">
        <f>SUM(DID!D116)</f>
        <v>0</v>
      </c>
      <c r="H116" s="239">
        <f>SUM(DID!E116)</f>
        <v>0</v>
      </c>
      <c r="I116" s="239">
        <f>SUM(DID!F116)</f>
        <v>0</v>
      </c>
      <c r="J116" s="239">
        <f>SUM(FC!C116)</f>
        <v>0</v>
      </c>
      <c r="K116" s="239">
        <f>SUM(FN!D116)</f>
        <v>0</v>
      </c>
      <c r="L116" s="239">
        <f>SUM(FN!E116)</f>
        <v>0</v>
      </c>
      <c r="M116" s="239">
        <f>SUM(FN!F116)</f>
        <v>0</v>
      </c>
      <c r="N116" s="239">
        <f>SUM(FN!G116)</f>
        <v>0</v>
      </c>
      <c r="O116" s="239">
        <f>SUM(FS!C116)</f>
        <v>0</v>
      </c>
      <c r="P116" s="239">
        <f>SUM(HR!C116)</f>
        <v>0</v>
      </c>
      <c r="Q116" s="239">
        <f>SUM(HR!D116)</f>
        <v>2000</v>
      </c>
      <c r="R116" s="239">
        <f>SUM(IT!C116)</f>
        <v>0</v>
      </c>
      <c r="S116" s="238"/>
      <c r="T116" s="240">
        <f t="shared" si="32"/>
        <v>2000</v>
      </c>
      <c r="V116" s="107"/>
      <c r="W116" s="282">
        <f>SUM(Sheet1!O116)</f>
        <v>0</v>
      </c>
    </row>
    <row r="117" spans="1:23" ht="12">
      <c r="A117" s="31" t="s">
        <v>59</v>
      </c>
      <c r="B117" s="31" t="s">
        <v>318</v>
      </c>
      <c r="C117" s="238"/>
      <c r="D117" s="239">
        <f>SUM('AC-SVC'!C117)</f>
        <v>0</v>
      </c>
      <c r="E117" s="239">
        <f>SUM('AC-SVC'!P117)</f>
        <v>0</v>
      </c>
      <c r="F117" s="248">
        <f>SUM(DID!C117)</f>
        <v>0</v>
      </c>
      <c r="G117" s="239">
        <f>SUM(DID!D117)</f>
        <v>0</v>
      </c>
      <c r="H117" s="239">
        <f>SUM(DID!E117)</f>
        <v>0</v>
      </c>
      <c r="I117" s="239">
        <f>SUM(DID!F117)</f>
        <v>0</v>
      </c>
      <c r="J117" s="239">
        <f>SUM(FC!C117)</f>
        <v>0</v>
      </c>
      <c r="K117" s="239">
        <f>SUM(FN!D117)</f>
        <v>0</v>
      </c>
      <c r="L117" s="239">
        <f>SUM(FN!E117)</f>
        <v>0</v>
      </c>
      <c r="M117" s="239">
        <f>SUM(FN!F117)</f>
        <v>0</v>
      </c>
      <c r="N117" s="239">
        <f>SUM(FN!G117)</f>
        <v>0</v>
      </c>
      <c r="O117" s="239">
        <f>SUM(FS!C117)</f>
        <v>0</v>
      </c>
      <c r="P117" s="239">
        <f>SUM(HR!C117)</f>
        <v>0</v>
      </c>
      <c r="Q117" s="239">
        <f>SUM(HR!D117)</f>
        <v>0</v>
      </c>
      <c r="R117" s="239">
        <f>SUM(IT!C117)</f>
        <v>0</v>
      </c>
      <c r="S117" s="238"/>
      <c r="T117" s="240">
        <f t="shared" si="32"/>
        <v>0</v>
      </c>
      <c r="V117" s="107"/>
      <c r="W117" s="282">
        <f>SUM(Sheet1!O117)</f>
        <v>0</v>
      </c>
    </row>
    <row r="118" spans="1:23" ht="12">
      <c r="A118" s="31" t="s">
        <v>87</v>
      </c>
      <c r="B118" s="31" t="s">
        <v>88</v>
      </c>
      <c r="C118" s="238"/>
      <c r="D118" s="239">
        <f>SUM('AC-SVC'!C118)</f>
        <v>0</v>
      </c>
      <c r="E118" s="239">
        <f>SUM('AC-SVC'!P118)</f>
        <v>0</v>
      </c>
      <c r="F118" s="248">
        <f>SUM(DID!C118)</f>
        <v>0</v>
      </c>
      <c r="G118" s="239">
        <f>SUM(DID!D118)</f>
        <v>5000</v>
      </c>
      <c r="H118" s="239">
        <f>SUM(DID!E118)</f>
        <v>67585</v>
      </c>
      <c r="I118" s="239">
        <f>SUM(DID!F118)</f>
        <v>0</v>
      </c>
      <c r="J118" s="239">
        <f>SUM(FC!C118)</f>
        <v>0</v>
      </c>
      <c r="K118" s="239">
        <f>SUM(FN!D118)</f>
        <v>0</v>
      </c>
      <c r="L118" s="239">
        <f>SUM(FN!E118)</f>
        <v>0</v>
      </c>
      <c r="M118" s="239">
        <f>SUM(FN!F118)</f>
        <v>0</v>
      </c>
      <c r="N118" s="239">
        <f>SUM(FN!G118)</f>
        <v>0</v>
      </c>
      <c r="O118" s="239">
        <f>SUM(FS!C118)</f>
        <v>0</v>
      </c>
      <c r="P118" s="239">
        <f>SUM(HR!C118)</f>
        <v>0</v>
      </c>
      <c r="Q118" s="239">
        <f>SUM(HR!D118)</f>
        <v>2500</v>
      </c>
      <c r="R118" s="239">
        <f>SUM(IT!C118)</f>
        <v>0</v>
      </c>
      <c r="S118" s="238"/>
      <c r="T118" s="240">
        <f t="shared" si="32"/>
        <v>75085</v>
      </c>
      <c r="V118" s="107">
        <v>18806.3</v>
      </c>
      <c r="W118" s="282">
        <f>SUM(Sheet1!O118)</f>
        <v>22265.949528301888</v>
      </c>
    </row>
    <row r="119" spans="1:23" ht="12">
      <c r="A119" s="31" t="s">
        <v>89</v>
      </c>
      <c r="B119" s="31" t="s">
        <v>90</v>
      </c>
      <c r="C119" s="238"/>
      <c r="D119" s="239">
        <f>SUM('AC-SVC'!C119)</f>
        <v>0</v>
      </c>
      <c r="E119" s="239">
        <f>SUM('AC-SVC'!P119)</f>
        <v>0</v>
      </c>
      <c r="F119" s="248">
        <f>SUM(DID!C119)</f>
        <v>1000</v>
      </c>
      <c r="G119" s="239">
        <f>SUM(DID!D119)</f>
        <v>2500</v>
      </c>
      <c r="H119" s="239">
        <f>SUM(DID!E119)</f>
        <v>6500</v>
      </c>
      <c r="I119" s="239">
        <f>SUM(DID!F119)</f>
        <v>0</v>
      </c>
      <c r="J119" s="239">
        <f>SUM(FC!C119)</f>
        <v>0</v>
      </c>
      <c r="K119" s="239">
        <f>SUM(FN!D119)</f>
        <v>0</v>
      </c>
      <c r="L119" s="239">
        <f>SUM(FN!E119)</f>
        <v>0</v>
      </c>
      <c r="M119" s="239">
        <f>SUM(FN!F119)</f>
        <v>0</v>
      </c>
      <c r="N119" s="239">
        <f>SUM(FN!G119)</f>
        <v>0</v>
      </c>
      <c r="O119" s="239">
        <f>SUM(FS!C119)</f>
        <v>0</v>
      </c>
      <c r="P119" s="239">
        <f>SUM(HR!C119)</f>
        <v>0</v>
      </c>
      <c r="Q119" s="239">
        <f>SUM(HR!D119)</f>
        <v>2000</v>
      </c>
      <c r="R119" s="239">
        <f>SUM(IT!C119)</f>
        <v>0</v>
      </c>
      <c r="S119" s="238"/>
      <c r="T119" s="240">
        <f t="shared" si="32"/>
        <v>12000</v>
      </c>
      <c r="V119" s="107">
        <v>10437.32</v>
      </c>
      <c r="W119" s="282">
        <f>SUM(Sheet1!O119)</f>
        <v>12357.393018867924</v>
      </c>
    </row>
    <row r="120" spans="1:23" ht="12">
      <c r="A120" s="31" t="s">
        <v>413</v>
      </c>
      <c r="B120" s="31" t="s">
        <v>414</v>
      </c>
      <c r="C120" s="238"/>
      <c r="D120" s="239">
        <f>SUM('AC-SVC'!C120)</f>
        <v>0</v>
      </c>
      <c r="E120" s="239">
        <f>SUM('AC-SVC'!P120)</f>
        <v>0</v>
      </c>
      <c r="F120" s="248">
        <f>SUM(DID!C120)</f>
        <v>0</v>
      </c>
      <c r="G120" s="239">
        <f>SUM(DID!D120)</f>
        <v>0</v>
      </c>
      <c r="H120" s="239">
        <f>SUM(DID!E120)</f>
        <v>0</v>
      </c>
      <c r="I120" s="239">
        <f>SUM(DID!F120)</f>
        <v>0</v>
      </c>
      <c r="J120" s="239">
        <f>SUM(FC!C120)</f>
        <v>0</v>
      </c>
      <c r="K120" s="239">
        <f>SUM(FN!D120)</f>
        <v>0</v>
      </c>
      <c r="L120" s="239">
        <f>SUM(FN!E120)</f>
        <v>0</v>
      </c>
      <c r="M120" s="239">
        <f>SUM(FN!F120)</f>
        <v>0</v>
      </c>
      <c r="N120" s="239">
        <f>SUM(FN!G120)</f>
        <v>0</v>
      </c>
      <c r="O120" s="239">
        <f>SUM(FS!C120)</f>
        <v>0</v>
      </c>
      <c r="P120" s="239">
        <f>SUM(HR!C120)</f>
        <v>0</v>
      </c>
      <c r="Q120" s="239">
        <f>SUM(HR!D120)</f>
        <v>0</v>
      </c>
      <c r="R120" s="239">
        <f>SUM(IT!C120)</f>
        <v>0</v>
      </c>
      <c r="S120" s="238"/>
      <c r="T120" s="240">
        <f t="shared" si="32"/>
        <v>0</v>
      </c>
      <c r="V120" s="107"/>
      <c r="W120" s="282">
        <f>SUM(Sheet1!O120)</f>
        <v>0</v>
      </c>
    </row>
    <row r="121" spans="1:23" ht="12">
      <c r="A121" s="31" t="s">
        <v>52</v>
      </c>
      <c r="B121" s="31" t="s">
        <v>53</v>
      </c>
      <c r="C121" s="241">
        <f>15000+10500</f>
        <v>25500</v>
      </c>
      <c r="D121" s="241">
        <f>SUM('AC-SVC'!C121)</f>
        <v>0</v>
      </c>
      <c r="E121" s="241">
        <f>SUM('AC-SVC'!P121)</f>
        <v>0</v>
      </c>
      <c r="F121" s="249">
        <f>SUM(DID!C121)</f>
        <v>0</v>
      </c>
      <c r="G121" s="241">
        <f>SUM(DID!D121)</f>
        <v>0</v>
      </c>
      <c r="H121" s="241">
        <f>SUM(DID!E121)</f>
        <v>6800</v>
      </c>
      <c r="I121" s="241">
        <f>SUM(DID!F121)</f>
        <v>0</v>
      </c>
      <c r="J121" s="241">
        <f>SUM(FC!C121)</f>
        <v>0</v>
      </c>
      <c r="K121" s="241">
        <f>SUM(FN!D121)</f>
        <v>0</v>
      </c>
      <c r="L121" s="241">
        <f>SUM(FN!E121)</f>
        <v>0</v>
      </c>
      <c r="M121" s="241">
        <f>SUM(FN!F121)</f>
        <v>0</v>
      </c>
      <c r="N121" s="241">
        <f>SUM(FN!G121)</f>
        <v>0</v>
      </c>
      <c r="O121" s="241">
        <f>SUM(FS!C121)</f>
        <v>0</v>
      </c>
      <c r="P121" s="241">
        <f>SUM(HR!C121)</f>
        <v>0</v>
      </c>
      <c r="Q121" s="241">
        <f>SUM(HR!D121)</f>
        <v>0</v>
      </c>
      <c r="R121" s="241">
        <f>SUM(IT!C121)</f>
        <v>0</v>
      </c>
      <c r="S121" s="238"/>
      <c r="T121" s="242">
        <f t="shared" si="32"/>
        <v>32300</v>
      </c>
      <c r="V121" s="108">
        <v>33342.71</v>
      </c>
      <c r="W121" s="283">
        <f>SUM(Sheet1!O121)</f>
        <v>39476.5104245283</v>
      </c>
    </row>
    <row r="122" spans="1:23" ht="10">
      <c r="B122" s="31" t="s">
        <v>241</v>
      </c>
      <c r="C122" s="238">
        <f>SUM(C108:C121)</f>
        <v>91000</v>
      </c>
      <c r="D122" s="238">
        <f>SUM(D108:D121)</f>
        <v>0</v>
      </c>
      <c r="E122" s="238">
        <f>SUM(E108:E121)</f>
        <v>3900</v>
      </c>
      <c r="F122" s="248">
        <f>SUM(DID!C122)</f>
        <v>2000</v>
      </c>
      <c r="G122" s="238">
        <f t="shared" ref="G122:R122" si="33">SUM(G108:G121)</f>
        <v>8500</v>
      </c>
      <c r="H122" s="238">
        <f t="shared" si="33"/>
        <v>81885</v>
      </c>
      <c r="I122" s="238">
        <f t="shared" ref="I122" si="34">SUM(I108:I121)</f>
        <v>1000</v>
      </c>
      <c r="J122" s="238">
        <f t="shared" si="33"/>
        <v>26460</v>
      </c>
      <c r="K122" s="238">
        <f t="shared" si="33"/>
        <v>80000</v>
      </c>
      <c r="L122" s="238">
        <f t="shared" si="33"/>
        <v>2500</v>
      </c>
      <c r="M122" s="238">
        <f t="shared" si="33"/>
        <v>1000</v>
      </c>
      <c r="N122" s="238">
        <f t="shared" si="33"/>
        <v>1000</v>
      </c>
      <c r="O122" s="238">
        <f t="shared" si="33"/>
        <v>2000</v>
      </c>
      <c r="P122" s="238">
        <f>SUM(P108:P121)</f>
        <v>2250</v>
      </c>
      <c r="Q122" s="238">
        <f t="shared" si="33"/>
        <v>28500</v>
      </c>
      <c r="R122" s="238">
        <f t="shared" si="33"/>
        <v>61500</v>
      </c>
      <c r="S122" s="238"/>
      <c r="T122" s="244">
        <f>SUM(T108:T121)</f>
        <v>393495</v>
      </c>
      <c r="V122" s="106">
        <v>298830.51</v>
      </c>
      <c r="W122" s="278">
        <f>SUM(W108:W121)</f>
        <v>353804.04721698118</v>
      </c>
    </row>
    <row r="123" spans="1:23">
      <c r="C123" s="238"/>
      <c r="D123" s="238"/>
      <c r="E123" s="238"/>
      <c r="F123" s="248">
        <f>SUM(DID!C123)</f>
        <v>0</v>
      </c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44"/>
      <c r="V123" s="106"/>
    </row>
    <row r="124" spans="1:23">
      <c r="A124" s="31" t="s">
        <v>242</v>
      </c>
      <c r="C124" s="238"/>
      <c r="D124" s="238"/>
      <c r="E124" s="238"/>
      <c r="F124" s="248">
        <f>SUM(DID!C124)</f>
        <v>0</v>
      </c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44"/>
      <c r="V124" s="106"/>
    </row>
    <row r="125" spans="1:23" ht="12">
      <c r="A125" s="31" t="s">
        <v>56</v>
      </c>
      <c r="B125" s="31" t="s">
        <v>245</v>
      </c>
      <c r="C125" s="238"/>
      <c r="D125" s="239">
        <f>SUM('AC-SVC'!C125)</f>
        <v>0</v>
      </c>
      <c r="E125" s="239">
        <f>SUM('AC-SVC'!P125)</f>
        <v>0</v>
      </c>
      <c r="F125" s="248">
        <f>SUM(DID!C125)</f>
        <v>0</v>
      </c>
      <c r="G125" s="239">
        <f>SUM(DID!D125)</f>
        <v>0</v>
      </c>
      <c r="H125" s="239">
        <f>SUM(DID!E125)</f>
        <v>0</v>
      </c>
      <c r="I125" s="239">
        <f>SUM(DID!F125)</f>
        <v>0</v>
      </c>
      <c r="J125" s="239">
        <f>SUM(FC!C125)</f>
        <v>0</v>
      </c>
      <c r="K125" s="239">
        <f>SUM(FN!D125)</f>
        <v>0</v>
      </c>
      <c r="L125" s="239">
        <f>SUM(FN!E125)</f>
        <v>0</v>
      </c>
      <c r="M125" s="239">
        <f>SUM(FN!F125)</f>
        <v>0</v>
      </c>
      <c r="N125" s="239">
        <f>SUM(FN!G125)</f>
        <v>0</v>
      </c>
      <c r="O125" s="239">
        <f>SUM(FS!C125)</f>
        <v>0</v>
      </c>
      <c r="P125" s="239">
        <f>SUM(HR!C125)</f>
        <v>0</v>
      </c>
      <c r="Q125" s="239">
        <f>SUM(HR!D125)</f>
        <v>0</v>
      </c>
      <c r="R125" s="239">
        <f>SUM(IT!C125)</f>
        <v>0</v>
      </c>
      <c r="S125" s="238"/>
      <c r="T125" s="240">
        <f t="shared" ref="T125:T132" si="35">SUM(C125:R125)</f>
        <v>0</v>
      </c>
      <c r="V125" s="107"/>
      <c r="W125" s="282">
        <f>SUM(Sheet1!O125)</f>
        <v>0</v>
      </c>
    </row>
    <row r="126" spans="1:23" ht="12">
      <c r="A126" s="31" t="s">
        <v>57</v>
      </c>
      <c r="B126" s="31" t="s">
        <v>246</v>
      </c>
      <c r="C126" s="238"/>
      <c r="D126" s="239">
        <f>SUM('AC-SVC'!C126)</f>
        <v>0</v>
      </c>
      <c r="E126" s="239">
        <f>SUM('AC-SVC'!P126)</f>
        <v>0</v>
      </c>
      <c r="F126" s="248">
        <f>SUM(DID!C126)</f>
        <v>0</v>
      </c>
      <c r="G126" s="239">
        <f>SUM(DID!D126)</f>
        <v>0</v>
      </c>
      <c r="H126" s="239">
        <f>SUM(DID!E126)</f>
        <v>0</v>
      </c>
      <c r="I126" s="239">
        <f>SUM(DID!F126)</f>
        <v>0</v>
      </c>
      <c r="J126" s="239">
        <f>SUM(FC!C126)</f>
        <v>0</v>
      </c>
      <c r="K126" s="239">
        <f>SUM(FN!D126)</f>
        <v>0</v>
      </c>
      <c r="L126" s="239">
        <f>SUM(FN!E126)</f>
        <v>612</v>
      </c>
      <c r="M126" s="239">
        <f>SUM(FN!F126)</f>
        <v>0</v>
      </c>
      <c r="N126" s="239">
        <f>SUM(FN!G126)</f>
        <v>0</v>
      </c>
      <c r="O126" s="239">
        <f>SUM(FS!C126)</f>
        <v>0</v>
      </c>
      <c r="P126" s="239">
        <f>SUM(HR!C126)</f>
        <v>0</v>
      </c>
      <c r="Q126" s="239">
        <f>SUM(HR!D126)</f>
        <v>0</v>
      </c>
      <c r="R126" s="239">
        <f>SUM(IT!C126)</f>
        <v>0</v>
      </c>
      <c r="S126" s="238"/>
      <c r="T126" s="240">
        <f t="shared" si="35"/>
        <v>612</v>
      </c>
      <c r="V126" s="107">
        <v>16.350000000000001</v>
      </c>
      <c r="W126" s="282">
        <f>SUM(Sheet1!O126)</f>
        <v>19.357783018867927</v>
      </c>
    </row>
    <row r="127" spans="1:23" ht="12">
      <c r="A127" s="31" t="s">
        <v>58</v>
      </c>
      <c r="B127" s="31" t="s">
        <v>247</v>
      </c>
      <c r="C127" s="238"/>
      <c r="D127" s="239">
        <f>SUM('AC-SVC'!C127)</f>
        <v>0</v>
      </c>
      <c r="E127" s="239">
        <f>SUM('AC-SVC'!P127)</f>
        <v>0</v>
      </c>
      <c r="F127" s="248">
        <f>SUM(DID!C127)</f>
        <v>0</v>
      </c>
      <c r="G127" s="239">
        <f>SUM(DID!D127)</f>
        <v>0</v>
      </c>
      <c r="H127" s="239">
        <f>SUM(DID!E127)</f>
        <v>0</v>
      </c>
      <c r="I127" s="239">
        <f>SUM(DID!F127)</f>
        <v>0</v>
      </c>
      <c r="J127" s="239">
        <f>SUM(FC!C127)</f>
        <v>0</v>
      </c>
      <c r="K127" s="239">
        <f>SUM(FN!D127)</f>
        <v>0</v>
      </c>
      <c r="L127" s="239">
        <f>SUM(FN!E127)</f>
        <v>0</v>
      </c>
      <c r="M127" s="239">
        <f>SUM(FN!F127)</f>
        <v>0</v>
      </c>
      <c r="N127" s="239">
        <f>SUM(FN!G127)</f>
        <v>0</v>
      </c>
      <c r="O127" s="239">
        <f>SUM(FS!C127)</f>
        <v>0</v>
      </c>
      <c r="P127" s="239">
        <f>SUM(HR!C127)</f>
        <v>0</v>
      </c>
      <c r="Q127" s="239">
        <f>SUM(HR!D127)</f>
        <v>0</v>
      </c>
      <c r="R127" s="239">
        <f>SUM(IT!C127)</f>
        <v>0</v>
      </c>
      <c r="S127" s="238"/>
      <c r="T127" s="240">
        <f t="shared" si="35"/>
        <v>0</v>
      </c>
      <c r="V127" s="107"/>
      <c r="W127" s="282">
        <f>SUM(Sheet1!O127)</f>
        <v>0</v>
      </c>
    </row>
    <row r="128" spans="1:23" ht="12">
      <c r="A128" s="31" t="s">
        <v>55</v>
      </c>
      <c r="B128" s="31" t="s">
        <v>244</v>
      </c>
      <c r="C128" s="238"/>
      <c r="D128" s="239">
        <f>SUM('AC-SVC'!C128)</f>
        <v>0</v>
      </c>
      <c r="E128" s="239">
        <f>SUM('AC-SVC'!P128)</f>
        <v>0</v>
      </c>
      <c r="F128" s="248">
        <f>SUM(DID!C128)</f>
        <v>0</v>
      </c>
      <c r="G128" s="239">
        <f>SUM(DID!D128)</f>
        <v>0</v>
      </c>
      <c r="H128" s="239">
        <f>SUM(DID!E128)</f>
        <v>0</v>
      </c>
      <c r="I128" s="239">
        <f>SUM(DID!F128)</f>
        <v>0</v>
      </c>
      <c r="J128" s="239">
        <f>SUM(FC!C128)</f>
        <v>0</v>
      </c>
      <c r="K128" s="239">
        <f>SUM(FN!D128)</f>
        <v>0</v>
      </c>
      <c r="L128" s="239">
        <f>SUM(FN!E128)</f>
        <v>0</v>
      </c>
      <c r="M128" s="239">
        <f>SUM(FN!F128)</f>
        <v>0</v>
      </c>
      <c r="N128" s="239">
        <f>SUM(FN!G128)</f>
        <v>0</v>
      </c>
      <c r="O128" s="239">
        <f>SUM(FS!C128)</f>
        <v>0</v>
      </c>
      <c r="P128" s="239">
        <f>SUM(HR!C128)</f>
        <v>0</v>
      </c>
      <c r="Q128" s="239">
        <f>SUM(HR!D128)</f>
        <v>0</v>
      </c>
      <c r="R128" s="239">
        <f>SUM(IT!C128)</f>
        <v>0</v>
      </c>
      <c r="S128" s="238"/>
      <c r="T128" s="240">
        <f t="shared" si="35"/>
        <v>0</v>
      </c>
      <c r="V128" s="107"/>
      <c r="W128" s="282">
        <f>SUM(Sheet1!O128)</f>
        <v>0</v>
      </c>
    </row>
    <row r="129" spans="1:23" ht="10.5" customHeight="1">
      <c r="A129" s="31" t="s">
        <v>54</v>
      </c>
      <c r="B129" s="31" t="s">
        <v>243</v>
      </c>
      <c r="C129" s="238"/>
      <c r="D129" s="239">
        <f>SUM('AC-SVC'!C129)</f>
        <v>0</v>
      </c>
      <c r="E129" s="239">
        <f>SUM('AC-SVC'!P129)</f>
        <v>0</v>
      </c>
      <c r="F129" s="248">
        <f>SUM(DID!C129)</f>
        <v>0</v>
      </c>
      <c r="G129" s="239">
        <f>SUM(DID!D129)</f>
        <v>0</v>
      </c>
      <c r="H129" s="239">
        <f>SUM(DID!E129)</f>
        <v>0</v>
      </c>
      <c r="I129" s="239">
        <f>SUM(DID!F129)</f>
        <v>0</v>
      </c>
      <c r="J129" s="239">
        <f>SUM(FC!C129)</f>
        <v>0</v>
      </c>
      <c r="K129" s="239">
        <f>SUM(FN!D129)</f>
        <v>0</v>
      </c>
      <c r="L129" s="239">
        <f>SUM(FN!E129)</f>
        <v>0</v>
      </c>
      <c r="M129" s="239">
        <f>SUM(FN!F129)</f>
        <v>0</v>
      </c>
      <c r="N129" s="239">
        <f>SUM(FN!G129)</f>
        <v>0</v>
      </c>
      <c r="O129" s="239">
        <f>SUM(FS!C129)</f>
        <v>0</v>
      </c>
      <c r="P129" s="239">
        <f>SUM(HR!C129)</f>
        <v>0</v>
      </c>
      <c r="Q129" s="239">
        <f>SUM(HR!D129)</f>
        <v>0</v>
      </c>
      <c r="R129" s="239">
        <f>SUM(IT!C129)</f>
        <v>0</v>
      </c>
      <c r="S129" s="238"/>
      <c r="T129" s="240">
        <f t="shared" si="35"/>
        <v>0</v>
      </c>
      <c r="V129" s="107"/>
      <c r="W129" s="282">
        <f>SUM(Sheet1!O129)</f>
        <v>0</v>
      </c>
    </row>
    <row r="130" spans="1:23" ht="12">
      <c r="A130" s="31" t="s">
        <v>60</v>
      </c>
      <c r="B130" s="31" t="s">
        <v>61</v>
      </c>
      <c r="C130" s="238"/>
      <c r="D130" s="239">
        <f>SUM('AC-SVC'!C130)</f>
        <v>0</v>
      </c>
      <c r="E130" s="239">
        <f>SUM('AC-SVC'!P130)</f>
        <v>0</v>
      </c>
      <c r="F130" s="248">
        <f>SUM(DID!C130)</f>
        <v>0</v>
      </c>
      <c r="G130" s="239">
        <f>SUM(DID!D130)</f>
        <v>0</v>
      </c>
      <c r="H130" s="239">
        <f>SUM(DID!E130)</f>
        <v>0</v>
      </c>
      <c r="I130" s="239">
        <f>SUM(DID!F130)</f>
        <v>0</v>
      </c>
      <c r="J130" s="239">
        <f>SUM(FC!C130)</f>
        <v>2000</v>
      </c>
      <c r="K130" s="239">
        <f>SUM(FN!D130)</f>
        <v>0</v>
      </c>
      <c r="L130" s="239">
        <f>SUM(FN!E130)</f>
        <v>0</v>
      </c>
      <c r="M130" s="239">
        <f>SUM(FN!F130)</f>
        <v>0</v>
      </c>
      <c r="N130" s="239">
        <f>SUM(FN!G130)</f>
        <v>0</v>
      </c>
      <c r="O130" s="239">
        <f>SUM(FS!C130)</f>
        <v>0</v>
      </c>
      <c r="P130" s="239">
        <f>SUM(HR!C130)</f>
        <v>0</v>
      </c>
      <c r="Q130" s="239">
        <f>SUM(HR!D130)</f>
        <v>0</v>
      </c>
      <c r="R130" s="239">
        <f>SUM(IT!C130)</f>
        <v>11920</v>
      </c>
      <c r="S130" s="238"/>
      <c r="T130" s="240">
        <f t="shared" si="35"/>
        <v>13920</v>
      </c>
      <c r="V130" s="107">
        <v>2287.56</v>
      </c>
      <c r="W130" s="282">
        <f>SUM(Sheet1!O130)</f>
        <v>2708.384716981132</v>
      </c>
    </row>
    <row r="131" spans="1:23" ht="12">
      <c r="A131" s="31" t="s">
        <v>411</v>
      </c>
      <c r="B131" s="31" t="s">
        <v>412</v>
      </c>
      <c r="C131" s="238"/>
      <c r="D131" s="239">
        <f>SUM('AC-SVC'!C131)</f>
        <v>0</v>
      </c>
      <c r="E131" s="239">
        <f>SUM('AC-SVC'!P131)</f>
        <v>0</v>
      </c>
      <c r="F131" s="248">
        <f>SUM(DID!C131)</f>
        <v>0</v>
      </c>
      <c r="G131" s="239">
        <f>SUM(DID!D131)</f>
        <v>0</v>
      </c>
      <c r="H131" s="239">
        <f>SUM(DID!E131)</f>
        <v>0</v>
      </c>
      <c r="I131" s="239">
        <f>SUM(DID!F131)</f>
        <v>0</v>
      </c>
      <c r="J131" s="239">
        <f>SUM(FC!C131)</f>
        <v>0</v>
      </c>
      <c r="K131" s="239">
        <f>SUM(FN!D131)</f>
        <v>0</v>
      </c>
      <c r="L131" s="239">
        <f>SUM(FN!E131)</f>
        <v>0</v>
      </c>
      <c r="M131" s="239">
        <f>SUM(FN!F131)</f>
        <v>0</v>
      </c>
      <c r="N131" s="239">
        <f>SUM(FN!G131)</f>
        <v>0</v>
      </c>
      <c r="O131" s="239">
        <f>SUM(FS!C131)</f>
        <v>0</v>
      </c>
      <c r="P131" s="239">
        <f>SUM(HR!C131)</f>
        <v>0</v>
      </c>
      <c r="Q131" s="239">
        <f>SUM(HR!D131)</f>
        <v>0</v>
      </c>
      <c r="R131" s="239">
        <f>SUM(IT!C131)</f>
        <v>0</v>
      </c>
      <c r="S131" s="238"/>
      <c r="T131" s="240">
        <f t="shared" si="35"/>
        <v>0</v>
      </c>
      <c r="V131" s="107"/>
      <c r="W131" s="282">
        <f>SUM(Sheet1!O131)</f>
        <v>0</v>
      </c>
    </row>
    <row r="132" spans="1:23" ht="12">
      <c r="A132" s="31" t="s">
        <v>62</v>
      </c>
      <c r="B132" s="31" t="s">
        <v>248</v>
      </c>
      <c r="C132" s="241"/>
      <c r="D132" s="241">
        <f>SUM('AC-SVC'!C132)</f>
        <v>0</v>
      </c>
      <c r="E132" s="241">
        <f>SUM('AC-SVC'!P132)</f>
        <v>0</v>
      </c>
      <c r="F132" s="249">
        <f>SUM(DID!C132)</f>
        <v>0</v>
      </c>
      <c r="G132" s="241">
        <f>SUM(DID!D132)</f>
        <v>0</v>
      </c>
      <c r="H132" s="241">
        <f>SUM(DID!E132)</f>
        <v>0</v>
      </c>
      <c r="I132" s="241">
        <f>SUM(DID!F132)</f>
        <v>0</v>
      </c>
      <c r="J132" s="241">
        <f>SUM(FC!C132)</f>
        <v>0</v>
      </c>
      <c r="K132" s="241">
        <f>SUM(FN!D132)</f>
        <v>0</v>
      </c>
      <c r="L132" s="241">
        <f>SUM(FN!E132)</f>
        <v>0</v>
      </c>
      <c r="M132" s="241">
        <f>SUM(FN!F132)</f>
        <v>0</v>
      </c>
      <c r="N132" s="241">
        <f>SUM(FN!G132)</f>
        <v>0</v>
      </c>
      <c r="O132" s="241">
        <f>SUM(FS!C132)</f>
        <v>0</v>
      </c>
      <c r="P132" s="241">
        <f>SUM(HR!C132)</f>
        <v>0</v>
      </c>
      <c r="Q132" s="241">
        <f>SUM(HR!D132)</f>
        <v>0</v>
      </c>
      <c r="R132" s="241">
        <f>SUM(IT!C132)</f>
        <v>9000</v>
      </c>
      <c r="S132" s="238"/>
      <c r="T132" s="242">
        <f t="shared" si="35"/>
        <v>9000</v>
      </c>
      <c r="V132" s="108"/>
      <c r="W132" s="283">
        <f>SUM(Sheet1!O132)</f>
        <v>0</v>
      </c>
    </row>
    <row r="133" spans="1:23" ht="10">
      <c r="B133" s="31" t="s">
        <v>249</v>
      </c>
      <c r="C133" s="238">
        <f>SUM(C125:C132)</f>
        <v>0</v>
      </c>
      <c r="D133" s="238">
        <f>SUM(D125:D132)</f>
        <v>0</v>
      </c>
      <c r="E133" s="238">
        <f>SUM(E125:E132)</f>
        <v>0</v>
      </c>
      <c r="F133" s="248">
        <f>SUM(DID!C133)</f>
        <v>0</v>
      </c>
      <c r="G133" s="238">
        <f t="shared" ref="G133:R133" si="36">SUM(G125:G132)</f>
        <v>0</v>
      </c>
      <c r="H133" s="238">
        <f t="shared" si="36"/>
        <v>0</v>
      </c>
      <c r="I133" s="238">
        <f t="shared" ref="I133" si="37">SUM(I125:I132)</f>
        <v>0</v>
      </c>
      <c r="J133" s="238">
        <f t="shared" si="36"/>
        <v>2000</v>
      </c>
      <c r="K133" s="238">
        <f t="shared" si="36"/>
        <v>0</v>
      </c>
      <c r="L133" s="238">
        <f t="shared" si="36"/>
        <v>612</v>
      </c>
      <c r="M133" s="238">
        <f t="shared" si="36"/>
        <v>0</v>
      </c>
      <c r="N133" s="238">
        <f t="shared" si="36"/>
        <v>0</v>
      </c>
      <c r="O133" s="238">
        <f t="shared" si="36"/>
        <v>0</v>
      </c>
      <c r="P133" s="238">
        <f>SUM(P125:P132)</f>
        <v>0</v>
      </c>
      <c r="Q133" s="238">
        <f t="shared" si="36"/>
        <v>0</v>
      </c>
      <c r="R133" s="238">
        <f t="shared" si="36"/>
        <v>20920</v>
      </c>
      <c r="S133" s="238"/>
      <c r="T133" s="244">
        <f>SUM(T125:T132)</f>
        <v>23532</v>
      </c>
      <c r="V133" s="106">
        <v>2303.91</v>
      </c>
      <c r="W133" s="278">
        <f>SUM(W125:W132)</f>
        <v>2727.7424999999998</v>
      </c>
    </row>
    <row r="134" spans="1:23">
      <c r="C134" s="238"/>
      <c r="D134" s="238"/>
      <c r="E134" s="238"/>
      <c r="F134" s="248">
        <f>SUM(DID!C134)</f>
        <v>0</v>
      </c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44"/>
      <c r="V134" s="106"/>
    </row>
    <row r="135" spans="1:23">
      <c r="A135" s="31" t="s">
        <v>250</v>
      </c>
      <c r="C135" s="238"/>
      <c r="D135" s="238"/>
      <c r="E135" s="238"/>
      <c r="F135" s="248">
        <f>SUM(DID!C135)</f>
        <v>0</v>
      </c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44"/>
      <c r="V135" s="106"/>
    </row>
    <row r="136" spans="1:23">
      <c r="A136" s="31" t="s">
        <v>251</v>
      </c>
      <c r="C136" s="238"/>
      <c r="D136" s="238"/>
      <c r="E136" s="238"/>
      <c r="F136" s="248">
        <f>SUM(DID!C136)</f>
        <v>0</v>
      </c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44"/>
      <c r="V136" s="106"/>
    </row>
    <row r="137" spans="1:23" ht="12">
      <c r="A137" s="31" t="s">
        <v>63</v>
      </c>
      <c r="B137" s="31" t="s">
        <v>252</v>
      </c>
      <c r="C137" s="238">
        <f>11148*1.25+8749*1.25</f>
        <v>24871.25</v>
      </c>
      <c r="D137" s="239">
        <f>SUM('AC-SVC'!C137)</f>
        <v>0</v>
      </c>
      <c r="E137" s="239">
        <f>SUM('AC-SVC'!P137)</f>
        <v>0</v>
      </c>
      <c r="F137" s="248">
        <f>SUM(DID!C137)</f>
        <v>0</v>
      </c>
      <c r="G137" s="239">
        <f>SUM(DID!D137)</f>
        <v>0</v>
      </c>
      <c r="H137" s="239">
        <f>SUM(DID!E137)</f>
        <v>0</v>
      </c>
      <c r="I137" s="239">
        <f>SUM(DID!F137)</f>
        <v>0</v>
      </c>
      <c r="J137" s="239">
        <f>SUM(FC!C137)</f>
        <v>0</v>
      </c>
      <c r="K137" s="239">
        <f>SUM(FN!D137)</f>
        <v>0</v>
      </c>
      <c r="L137" s="239">
        <f>SUM(FN!E137)</f>
        <v>0</v>
      </c>
      <c r="M137" s="239">
        <f>SUM(FN!F137)</f>
        <v>0</v>
      </c>
      <c r="N137" s="239">
        <f>SUM(FN!G137)</f>
        <v>0</v>
      </c>
      <c r="O137" s="239">
        <f>SUM(FS!C137)</f>
        <v>0</v>
      </c>
      <c r="P137" s="239">
        <f>SUM(HR!C137)</f>
        <v>0</v>
      </c>
      <c r="Q137" s="239">
        <f>SUM(HR!D137)</f>
        <v>0</v>
      </c>
      <c r="R137" s="239">
        <f>SUM(IT!C137)</f>
        <v>0</v>
      </c>
      <c r="S137" s="238"/>
      <c r="T137" s="240">
        <f>SUM(C137:R137)</f>
        <v>24871.25</v>
      </c>
      <c r="V137" s="107">
        <v>1497.83</v>
      </c>
      <c r="W137" s="282">
        <f>SUM(Sheet1!O137)</f>
        <v>1773.3741981132075</v>
      </c>
    </row>
    <row r="138" spans="1:23" ht="12">
      <c r="A138" s="31" t="s">
        <v>64</v>
      </c>
      <c r="B138" s="31" t="s">
        <v>253</v>
      </c>
      <c r="C138" s="238"/>
      <c r="D138" s="239">
        <f>SUM('AC-SVC'!C138)</f>
        <v>0</v>
      </c>
      <c r="E138" s="239">
        <f>SUM('AC-SVC'!P138)</f>
        <v>0</v>
      </c>
      <c r="F138" s="248">
        <f>SUM(DID!C138)</f>
        <v>0</v>
      </c>
      <c r="G138" s="239">
        <f>SUM(DID!D138)</f>
        <v>0</v>
      </c>
      <c r="H138" s="239">
        <f>SUM(DID!E138)</f>
        <v>0</v>
      </c>
      <c r="I138" s="239">
        <f>SUM(DID!F138)</f>
        <v>0</v>
      </c>
      <c r="J138" s="239">
        <f>SUM(FC!C138)</f>
        <v>0</v>
      </c>
      <c r="K138" s="239">
        <f>SUM(FN!D138)</f>
        <v>0</v>
      </c>
      <c r="L138" s="239">
        <f>SUM(FN!E138)</f>
        <v>0</v>
      </c>
      <c r="M138" s="239">
        <f>SUM(FN!F138)</f>
        <v>0</v>
      </c>
      <c r="N138" s="239">
        <f>SUM(FN!G138)</f>
        <v>0</v>
      </c>
      <c r="O138" s="239">
        <f>SUM(FS!C138)</f>
        <v>0</v>
      </c>
      <c r="P138" s="239">
        <f>SUM(HR!C138)</f>
        <v>0</v>
      </c>
      <c r="Q138" s="239">
        <f>SUM(HR!D138)</f>
        <v>0</v>
      </c>
      <c r="R138" s="239">
        <f>SUM(IT!C138)</f>
        <v>0</v>
      </c>
      <c r="S138" s="238"/>
      <c r="T138" s="240">
        <f>SUM(C138:R138)</f>
        <v>0</v>
      </c>
      <c r="V138" s="107">
        <v>1915.31</v>
      </c>
      <c r="W138" s="282">
        <f>SUM(Sheet1!O138)</f>
        <v>2267.6547641509433</v>
      </c>
    </row>
    <row r="139" spans="1:23" ht="12">
      <c r="A139" s="31" t="s">
        <v>417</v>
      </c>
      <c r="B139" s="31" t="s">
        <v>418</v>
      </c>
      <c r="C139" s="238"/>
      <c r="D139" s="239">
        <f>SUM('AC-SVC'!C139)</f>
        <v>0</v>
      </c>
      <c r="E139" s="239">
        <f>SUM('AC-SVC'!P139)</f>
        <v>0</v>
      </c>
      <c r="F139" s="248">
        <f>SUM(DID!C139)</f>
        <v>0</v>
      </c>
      <c r="G139" s="239">
        <f>SUM(DID!D139)</f>
        <v>0</v>
      </c>
      <c r="H139" s="239">
        <f>SUM(DID!E139)</f>
        <v>0</v>
      </c>
      <c r="I139" s="239">
        <f>SUM(DID!F139)</f>
        <v>0</v>
      </c>
      <c r="J139" s="239">
        <f>SUM(FC!C139)</f>
        <v>3596.25</v>
      </c>
      <c r="K139" s="239">
        <f>SUM(FN!D139)</f>
        <v>0</v>
      </c>
      <c r="L139" s="239">
        <f>SUM(FN!E139)</f>
        <v>0</v>
      </c>
      <c r="M139" s="239">
        <f>SUM(FN!F139)</f>
        <v>0</v>
      </c>
      <c r="N139" s="239">
        <f>SUM(FN!G139)</f>
        <v>0</v>
      </c>
      <c r="O139" s="239">
        <f>SUM(FS!C139)</f>
        <v>3603.6000000000004</v>
      </c>
      <c r="P139" s="239">
        <f>SUM(HR!C139)</f>
        <v>0</v>
      </c>
      <c r="Q139" s="239">
        <f>SUM(HR!D139)</f>
        <v>0</v>
      </c>
      <c r="R139" s="239">
        <f>SUM(IT!C139)</f>
        <v>0</v>
      </c>
      <c r="S139" s="238"/>
      <c r="T139" s="240">
        <f>SUM(C139:R139)</f>
        <v>7199.85</v>
      </c>
      <c r="V139" s="107">
        <v>7170.26</v>
      </c>
      <c r="W139" s="282">
        <f>SUM(Sheet1!O139)</f>
        <v>8489.3172641509427</v>
      </c>
    </row>
    <row r="140" spans="1:23" ht="12">
      <c r="A140" s="31" t="s">
        <v>65</v>
      </c>
      <c r="B140" s="31" t="s">
        <v>254</v>
      </c>
      <c r="C140" s="241">
        <f>6200-2000</f>
        <v>4200</v>
      </c>
      <c r="D140" s="241">
        <f>SUM('AC-SVC'!C140)</f>
        <v>0</v>
      </c>
      <c r="E140" s="241">
        <f>SUM('AC-SVC'!P140)</f>
        <v>0</v>
      </c>
      <c r="F140" s="249">
        <f>SUM(DID!C140)</f>
        <v>0</v>
      </c>
      <c r="G140" s="241">
        <f>SUM(DID!D140)</f>
        <v>0</v>
      </c>
      <c r="H140" s="241">
        <f>SUM(DID!E140)</f>
        <v>0</v>
      </c>
      <c r="I140" s="241">
        <f>SUM(DID!F140)</f>
        <v>0</v>
      </c>
      <c r="J140" s="241">
        <f>SUM(FC!C140)</f>
        <v>0</v>
      </c>
      <c r="K140" s="241">
        <f>SUM(FN!D140)</f>
        <v>0</v>
      </c>
      <c r="L140" s="241">
        <f>SUM(FN!E140)</f>
        <v>0</v>
      </c>
      <c r="M140" s="241">
        <f>SUM(FN!F140)</f>
        <v>0</v>
      </c>
      <c r="N140" s="241">
        <f>SUM(FN!G140)</f>
        <v>0</v>
      </c>
      <c r="O140" s="241">
        <f>SUM(FS!C140)</f>
        <v>0</v>
      </c>
      <c r="P140" s="241">
        <f>SUM(HR!C140)</f>
        <v>0</v>
      </c>
      <c r="Q140" s="241">
        <f>SUM(HR!D140)</f>
        <v>0</v>
      </c>
      <c r="R140" s="241">
        <f>SUM(IT!C140)</f>
        <v>0</v>
      </c>
      <c r="S140" s="238"/>
      <c r="T140" s="242">
        <f>SUM(C140:R140)</f>
        <v>4200</v>
      </c>
      <c r="V140" s="108">
        <v>4611.08</v>
      </c>
      <c r="W140" s="283">
        <f>SUM(Sheet1!O140)</f>
        <v>5459.3447169811316</v>
      </c>
    </row>
    <row r="141" spans="1:23" ht="10">
      <c r="B141" s="31" t="s">
        <v>255</v>
      </c>
      <c r="C141" s="238">
        <f>SUM(C137:C140)</f>
        <v>29071.25</v>
      </c>
      <c r="D141" s="238">
        <f>SUM(D137:D140)</f>
        <v>0</v>
      </c>
      <c r="E141" s="238">
        <f>SUM(E137:E140)</f>
        <v>0</v>
      </c>
      <c r="F141" s="248">
        <f>SUM(DID!C141)</f>
        <v>0</v>
      </c>
      <c r="G141" s="238">
        <f t="shared" ref="G141:R141" si="38">SUM(G137:G140)</f>
        <v>0</v>
      </c>
      <c r="H141" s="238">
        <f t="shared" si="38"/>
        <v>0</v>
      </c>
      <c r="I141" s="238">
        <f t="shared" ref="I141" si="39">SUM(I137:I140)</f>
        <v>0</v>
      </c>
      <c r="J141" s="238">
        <f t="shared" si="38"/>
        <v>3596.25</v>
      </c>
      <c r="K141" s="238">
        <f t="shared" si="38"/>
        <v>0</v>
      </c>
      <c r="L141" s="238">
        <f t="shared" si="38"/>
        <v>0</v>
      </c>
      <c r="M141" s="238">
        <f t="shared" si="38"/>
        <v>0</v>
      </c>
      <c r="N141" s="238">
        <f t="shared" si="38"/>
        <v>0</v>
      </c>
      <c r="O141" s="238">
        <f t="shared" si="38"/>
        <v>3603.6000000000004</v>
      </c>
      <c r="P141" s="238">
        <f>SUM(P137:P140)</f>
        <v>0</v>
      </c>
      <c r="Q141" s="238">
        <f t="shared" si="38"/>
        <v>0</v>
      </c>
      <c r="R141" s="238">
        <f t="shared" si="38"/>
        <v>0</v>
      </c>
      <c r="S141" s="238"/>
      <c r="T141" s="244">
        <f>SUM(T137:T140)</f>
        <v>36271.1</v>
      </c>
      <c r="V141" s="106">
        <v>15194.48</v>
      </c>
      <c r="W141" s="278">
        <f>SUM(W137:W140)</f>
        <v>17989.690943396225</v>
      </c>
    </row>
    <row r="142" spans="1:23">
      <c r="C142" s="238"/>
      <c r="D142" s="238"/>
      <c r="E142" s="238"/>
      <c r="F142" s="248">
        <f>SUM(DID!C142)</f>
        <v>0</v>
      </c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44"/>
      <c r="V142" s="106"/>
    </row>
    <row r="143" spans="1:23">
      <c r="A143" s="31" t="s">
        <v>256</v>
      </c>
      <c r="C143" s="238"/>
      <c r="D143" s="238"/>
      <c r="E143" s="238"/>
      <c r="F143" s="248">
        <f>SUM(DID!C143)</f>
        <v>0</v>
      </c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44"/>
      <c r="V143" s="106"/>
    </row>
    <row r="144" spans="1:23" ht="12">
      <c r="A144" s="31" t="s">
        <v>66</v>
      </c>
      <c r="B144" s="31" t="s">
        <v>257</v>
      </c>
      <c r="C144" s="238"/>
      <c r="D144" s="239">
        <f>SUM('AC-SVC'!C144)</f>
        <v>0</v>
      </c>
      <c r="E144" s="239">
        <f>SUM('AC-SVC'!P144)</f>
        <v>0</v>
      </c>
      <c r="F144" s="248">
        <f>SUM(DID!C144)</f>
        <v>0</v>
      </c>
      <c r="G144" s="239">
        <f>SUM(DID!D144)</f>
        <v>0</v>
      </c>
      <c r="H144" s="239">
        <f>SUM(DID!E144)</f>
        <v>0</v>
      </c>
      <c r="I144" s="239">
        <f>SUM(DID!F144)</f>
        <v>0</v>
      </c>
      <c r="J144" s="239">
        <f>SUM(FC!C144)</f>
        <v>0</v>
      </c>
      <c r="K144" s="239">
        <f>SUM(FN!D144)</f>
        <v>0</v>
      </c>
      <c r="L144" s="239">
        <f>SUM(FN!E144)</f>
        <v>0</v>
      </c>
      <c r="M144" s="239">
        <f>SUM(FN!F144)</f>
        <v>0</v>
      </c>
      <c r="N144" s="239">
        <f>SUM(FN!G144)</f>
        <v>0</v>
      </c>
      <c r="O144" s="239">
        <f>SUM(FS!C144)</f>
        <v>0</v>
      </c>
      <c r="P144" s="239">
        <f>SUM(HR!C144)</f>
        <v>0</v>
      </c>
      <c r="Q144" s="239">
        <f>SUM(HR!D144)</f>
        <v>0</v>
      </c>
      <c r="R144" s="239">
        <f>SUM(IT!C144)</f>
        <v>853</v>
      </c>
      <c r="S144" s="238"/>
      <c r="T144" s="240">
        <f t="shared" ref="T144:T149" si="40">SUM(C144:R144)</f>
        <v>853</v>
      </c>
      <c r="V144" s="107">
        <v>10729.32</v>
      </c>
      <c r="W144" s="282">
        <f>SUM(Sheet1!O144)</f>
        <v>12703.11</v>
      </c>
    </row>
    <row r="145" spans="1:23" ht="12">
      <c r="A145" s="31" t="s">
        <v>67</v>
      </c>
      <c r="B145" s="31" t="s">
        <v>258</v>
      </c>
      <c r="C145" s="238"/>
      <c r="D145" s="239">
        <f>SUM('AC-SVC'!C145)</f>
        <v>0</v>
      </c>
      <c r="E145" s="239">
        <f>SUM('AC-SVC'!P145)</f>
        <v>0</v>
      </c>
      <c r="F145" s="248">
        <f>SUM(DID!C145)</f>
        <v>0</v>
      </c>
      <c r="G145" s="239">
        <f>SUM(DID!D145)</f>
        <v>0</v>
      </c>
      <c r="H145" s="239">
        <f>SUM(DID!E145)</f>
        <v>0</v>
      </c>
      <c r="I145" s="239">
        <f>SUM(DID!F145)</f>
        <v>0</v>
      </c>
      <c r="J145" s="239">
        <f>SUM(FC!C145)</f>
        <v>0</v>
      </c>
      <c r="K145" s="239">
        <f>SUM(FN!D145)</f>
        <v>0</v>
      </c>
      <c r="L145" s="239">
        <f>SUM(FN!E145)</f>
        <v>0</v>
      </c>
      <c r="M145" s="239">
        <f>SUM(FN!F145)</f>
        <v>0</v>
      </c>
      <c r="N145" s="239">
        <f>SUM(FN!G145)</f>
        <v>0</v>
      </c>
      <c r="O145" s="239">
        <f>SUM(FS!C145)</f>
        <v>0</v>
      </c>
      <c r="P145" s="239">
        <f>SUM(HR!C145)</f>
        <v>0</v>
      </c>
      <c r="Q145" s="239">
        <f>SUM(HR!D145)</f>
        <v>0</v>
      </c>
      <c r="R145" s="239">
        <f>SUM(IT!C145)</f>
        <v>0</v>
      </c>
      <c r="S145" s="238"/>
      <c r="T145" s="240">
        <f t="shared" si="40"/>
        <v>0</v>
      </c>
      <c r="V145" s="107"/>
      <c r="W145" s="282">
        <f>SUM(Sheet1!O145)</f>
        <v>0</v>
      </c>
    </row>
    <row r="146" spans="1:23" ht="12">
      <c r="A146" s="31" t="s">
        <v>68</v>
      </c>
      <c r="B146" s="31" t="s">
        <v>259</v>
      </c>
      <c r="C146" s="238">
        <f>65*12+55*12</f>
        <v>1440</v>
      </c>
      <c r="D146" s="239">
        <f>SUM('AC-SVC'!C146)</f>
        <v>0</v>
      </c>
      <c r="E146" s="239">
        <f>SUM('AC-SVC'!P146)</f>
        <v>660</v>
      </c>
      <c r="F146" s="248">
        <f>SUM(DID!C146)</f>
        <v>720</v>
      </c>
      <c r="G146" s="239">
        <f>SUM(DID!D146)</f>
        <v>720</v>
      </c>
      <c r="H146" s="239">
        <f>SUM(DID!E146)</f>
        <v>720</v>
      </c>
      <c r="I146" s="239">
        <f>SUM(DID!F146)</f>
        <v>720</v>
      </c>
      <c r="J146" s="239">
        <f>SUM(FC!C146)</f>
        <v>780</v>
      </c>
      <c r="K146" s="239">
        <f>SUM(FN!D146)</f>
        <v>660</v>
      </c>
      <c r="L146" s="239">
        <f>SUM(FN!E146)</f>
        <v>0</v>
      </c>
      <c r="M146" s="239">
        <f>SUM(FN!F146)</f>
        <v>0</v>
      </c>
      <c r="N146" s="239">
        <f>SUM(FN!G146)</f>
        <v>0</v>
      </c>
      <c r="O146" s="239">
        <f>SUM(FS!C146)</f>
        <v>660</v>
      </c>
      <c r="P146" s="239">
        <f>SUM(HR!C146)</f>
        <v>0</v>
      </c>
      <c r="Q146" s="239">
        <f>SUM(HR!D146)</f>
        <v>1320</v>
      </c>
      <c r="R146" s="239">
        <f>SUM(IT!C146)</f>
        <v>13260</v>
      </c>
      <c r="S146" s="238"/>
      <c r="T146" s="240">
        <f t="shared" si="40"/>
        <v>21660</v>
      </c>
      <c r="V146" s="107">
        <v>11114.49</v>
      </c>
      <c r="W146" s="282">
        <f>SUM(Sheet1!O146)</f>
        <v>13159.136745283018</v>
      </c>
    </row>
    <row r="147" spans="1:23" ht="12">
      <c r="A147" s="31" t="s">
        <v>69</v>
      </c>
      <c r="B147" s="31" t="s">
        <v>260</v>
      </c>
      <c r="C147" s="238"/>
      <c r="D147" s="239">
        <f>SUM('AC-SVC'!C147)</f>
        <v>0</v>
      </c>
      <c r="E147" s="239">
        <f>SUM('AC-SVC'!P147)</f>
        <v>0</v>
      </c>
      <c r="F147" s="248">
        <f>SUM(DID!C147)</f>
        <v>0</v>
      </c>
      <c r="G147" s="239">
        <f>SUM(DID!D147)</f>
        <v>0</v>
      </c>
      <c r="H147" s="239">
        <f>SUM(DID!E147)</f>
        <v>0</v>
      </c>
      <c r="I147" s="239">
        <f>SUM(DID!F147)</f>
        <v>0</v>
      </c>
      <c r="J147" s="239">
        <f>SUM(FC!C147)</f>
        <v>0</v>
      </c>
      <c r="K147" s="239">
        <f>SUM(FN!D147)</f>
        <v>0</v>
      </c>
      <c r="L147" s="239">
        <f>SUM(FN!E147)</f>
        <v>0</v>
      </c>
      <c r="M147" s="239">
        <f>SUM(FN!F147)</f>
        <v>0</v>
      </c>
      <c r="N147" s="239">
        <f>SUM(FN!G147)</f>
        <v>0</v>
      </c>
      <c r="O147" s="239">
        <f>SUM(FS!C147)</f>
        <v>0</v>
      </c>
      <c r="P147" s="239">
        <f>SUM(HR!C147)</f>
        <v>0</v>
      </c>
      <c r="Q147" s="239">
        <f>SUM(HR!D147)</f>
        <v>0</v>
      </c>
      <c r="R147" s="239">
        <f>SUM(IT!C147)</f>
        <v>1888</v>
      </c>
      <c r="S147" s="238"/>
      <c r="T147" s="240">
        <f t="shared" si="40"/>
        <v>1888</v>
      </c>
      <c r="V147" s="107">
        <v>16610</v>
      </c>
      <c r="W147" s="282">
        <f>SUM(Sheet1!O147)</f>
        <v>19665.613207547169</v>
      </c>
    </row>
    <row r="148" spans="1:23" ht="12" customHeight="1">
      <c r="A148" s="31" t="s">
        <v>70</v>
      </c>
      <c r="B148" s="31" t="s">
        <v>261</v>
      </c>
      <c r="C148" s="238"/>
      <c r="D148" s="239">
        <f>SUM('AC-SVC'!C148)</f>
        <v>0</v>
      </c>
      <c r="E148" s="239">
        <f>SUM('AC-SVC'!P148)</f>
        <v>0</v>
      </c>
      <c r="F148" s="248">
        <f>SUM(DID!C148)</f>
        <v>500</v>
      </c>
      <c r="G148" s="239">
        <f>SUM(DID!D148)</f>
        <v>500</v>
      </c>
      <c r="H148" s="239">
        <f>SUM(DID!E148)</f>
        <v>3834</v>
      </c>
      <c r="I148" s="239">
        <f>SUM(DID!F148)</f>
        <v>0</v>
      </c>
      <c r="J148" s="239">
        <f>SUM(FC!C148)</f>
        <v>0</v>
      </c>
      <c r="K148" s="239">
        <f>SUM(FN!D148)</f>
        <v>0</v>
      </c>
      <c r="L148" s="239">
        <f>SUM(FN!E148)</f>
        <v>0</v>
      </c>
      <c r="M148" s="239">
        <f>SUM(FN!F148)</f>
        <v>810</v>
      </c>
      <c r="N148" s="239">
        <f>SUM(FN!G148)</f>
        <v>0</v>
      </c>
      <c r="O148" s="239">
        <f>SUM(FS!C148)</f>
        <v>0</v>
      </c>
      <c r="P148" s="239">
        <f>SUM(HR!C148)</f>
        <v>2510</v>
      </c>
      <c r="Q148" s="239">
        <f>SUM(HR!D148)</f>
        <v>250</v>
      </c>
      <c r="R148" s="239">
        <f>SUM(IT!C148)</f>
        <v>0</v>
      </c>
      <c r="S148" s="238"/>
      <c r="T148" s="240">
        <f t="shared" si="40"/>
        <v>8404</v>
      </c>
      <c r="V148" s="107">
        <v>1393.01</v>
      </c>
      <c r="W148" s="282">
        <f>SUM(Sheet1!O148)</f>
        <v>1649.2712735849054</v>
      </c>
    </row>
    <row r="149" spans="1:23" ht="12">
      <c r="A149" s="31" t="s">
        <v>425</v>
      </c>
      <c r="B149" s="31" t="s">
        <v>427</v>
      </c>
      <c r="C149" s="241"/>
      <c r="D149" s="241">
        <f>SUM('AC-SVC'!C149)</f>
        <v>0</v>
      </c>
      <c r="E149" s="241">
        <f>SUM('AC-SVC'!P149)</f>
        <v>0</v>
      </c>
      <c r="F149" s="249">
        <f>SUM(DID!C149)</f>
        <v>0</v>
      </c>
      <c r="G149" s="241">
        <f>SUM(DID!D149)</f>
        <v>0</v>
      </c>
      <c r="H149" s="241">
        <f>SUM(DID!E149)</f>
        <v>0</v>
      </c>
      <c r="I149" s="241">
        <f>SUM(DID!F149)</f>
        <v>0</v>
      </c>
      <c r="J149" s="241">
        <f>SUM(FC!C149)</f>
        <v>0</v>
      </c>
      <c r="K149" s="241">
        <f>SUM(FN!D149)</f>
        <v>0</v>
      </c>
      <c r="L149" s="241">
        <f>SUM(FN!E149)</f>
        <v>3200</v>
      </c>
      <c r="M149" s="241">
        <f>SUM(FN!F149)</f>
        <v>0</v>
      </c>
      <c r="N149" s="241">
        <f>SUM(FN!G149)</f>
        <v>0</v>
      </c>
      <c r="O149" s="241">
        <f>SUM(FS!C149)</f>
        <v>0</v>
      </c>
      <c r="P149" s="241">
        <f>SUM(HR!C149)</f>
        <v>0</v>
      </c>
      <c r="Q149" s="241">
        <f>SUM(HR!D149)</f>
        <v>665</v>
      </c>
      <c r="R149" s="241">
        <f>SUM(IT!C149)</f>
        <v>32500</v>
      </c>
      <c r="S149" s="238"/>
      <c r="T149" s="242">
        <f t="shared" si="40"/>
        <v>36365</v>
      </c>
      <c r="V149" s="108">
        <v>2593.65</v>
      </c>
      <c r="W149" s="283">
        <f>SUM(Sheet1!O149)</f>
        <v>3070.7837264150949</v>
      </c>
    </row>
    <row r="150" spans="1:23" ht="10">
      <c r="B150" s="31" t="s">
        <v>262</v>
      </c>
      <c r="C150" s="238">
        <f>SUM(C144:C149)</f>
        <v>1440</v>
      </c>
      <c r="D150" s="238">
        <f>SUM(D144:D149)</f>
        <v>0</v>
      </c>
      <c r="E150" s="238">
        <f>SUM(E144:E149)</f>
        <v>660</v>
      </c>
      <c r="F150" s="248">
        <f>SUM(DID!C150)</f>
        <v>1220</v>
      </c>
      <c r="G150" s="238">
        <f t="shared" ref="G150:R150" si="41">SUM(G144:G149)</f>
        <v>1220</v>
      </c>
      <c r="H150" s="238">
        <f t="shared" si="41"/>
        <v>4554</v>
      </c>
      <c r="I150" s="238">
        <f t="shared" ref="I150" si="42">SUM(I144:I149)</f>
        <v>720</v>
      </c>
      <c r="J150" s="238">
        <f t="shared" si="41"/>
        <v>780</v>
      </c>
      <c r="K150" s="238">
        <f t="shared" si="41"/>
        <v>660</v>
      </c>
      <c r="L150" s="238">
        <f t="shared" si="41"/>
        <v>3200</v>
      </c>
      <c r="M150" s="238">
        <f t="shared" si="41"/>
        <v>810</v>
      </c>
      <c r="N150" s="238">
        <f t="shared" si="41"/>
        <v>0</v>
      </c>
      <c r="O150" s="238">
        <f t="shared" si="41"/>
        <v>660</v>
      </c>
      <c r="P150" s="238">
        <f>SUM(P144:P149)</f>
        <v>2510</v>
      </c>
      <c r="Q150" s="238">
        <f t="shared" si="41"/>
        <v>2235</v>
      </c>
      <c r="R150" s="238">
        <f t="shared" si="41"/>
        <v>48501</v>
      </c>
      <c r="S150" s="238"/>
      <c r="T150" s="244">
        <f>SUM(T144:T149)</f>
        <v>69170</v>
      </c>
      <c r="V150" s="106">
        <v>42440.47</v>
      </c>
      <c r="W150" s="278">
        <f>SUM(W144:W149)</f>
        <v>50247.914952830186</v>
      </c>
    </row>
    <row r="151" spans="1:23">
      <c r="C151" s="238"/>
      <c r="D151" s="238"/>
      <c r="E151" s="238"/>
      <c r="F151" s="248">
        <f>SUM(DID!C151)</f>
        <v>0</v>
      </c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44"/>
      <c r="V151" s="106"/>
    </row>
    <row r="152" spans="1:23">
      <c r="A152" s="31" t="s">
        <v>263</v>
      </c>
      <c r="C152" s="238"/>
      <c r="D152" s="238"/>
      <c r="E152" s="238"/>
      <c r="F152" s="248">
        <f>SUM(DID!C152)</f>
        <v>0</v>
      </c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44"/>
      <c r="V152" s="106"/>
    </row>
    <row r="153" spans="1:23">
      <c r="A153" s="31" t="s">
        <v>264</v>
      </c>
      <c r="C153" s="238"/>
      <c r="D153" s="238"/>
      <c r="E153" s="238"/>
      <c r="F153" s="248">
        <f>SUM(DID!C153)</f>
        <v>0</v>
      </c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44"/>
      <c r="V153" s="106"/>
    </row>
    <row r="154" spans="1:23" ht="12">
      <c r="A154" s="31" t="s">
        <v>71</v>
      </c>
      <c r="B154" s="31" t="s">
        <v>72</v>
      </c>
      <c r="C154" s="241">
        <v>12000</v>
      </c>
      <c r="D154" s="241">
        <f>SUM('AC-SVC'!C154)</f>
        <v>1500</v>
      </c>
      <c r="E154" s="241">
        <f>SUM('AC-SVC'!P154)</f>
        <v>2000</v>
      </c>
      <c r="F154" s="249">
        <f>SUM(DID!C154)</f>
        <v>1000</v>
      </c>
      <c r="G154" s="241">
        <f>SUM(DID!D154)</f>
        <v>750</v>
      </c>
      <c r="H154" s="241">
        <f>SUM(DID!E154)</f>
        <v>750</v>
      </c>
      <c r="I154" s="241">
        <f>SUM(DID!F154)</f>
        <v>750</v>
      </c>
      <c r="J154" s="241">
        <f>SUM(FC!C154)</f>
        <v>2000</v>
      </c>
      <c r="K154" s="241">
        <f>SUM(FN!D154)</f>
        <v>1000</v>
      </c>
      <c r="L154" s="241">
        <f>SUM(FN!E154)</f>
        <v>800</v>
      </c>
      <c r="M154" s="241">
        <f>SUM(FN!F154)</f>
        <v>100</v>
      </c>
      <c r="N154" s="241">
        <f>SUM(FN!G154)</f>
        <v>100</v>
      </c>
      <c r="O154" s="241">
        <f>SUM(FS!C154)</f>
        <v>2500</v>
      </c>
      <c r="P154" s="241">
        <f>SUM(HR!C154)</f>
        <v>2250</v>
      </c>
      <c r="Q154" s="241">
        <f>SUM(HR!D154)</f>
        <v>2500</v>
      </c>
      <c r="R154" s="241">
        <f>SUM(IT!C154)</f>
        <v>3000</v>
      </c>
      <c r="S154" s="238"/>
      <c r="T154" s="242">
        <f>SUM(C154:R154)</f>
        <v>33000</v>
      </c>
      <c r="V154" s="108">
        <v>18629.669999999998</v>
      </c>
      <c r="W154" s="283">
        <f>SUM(Sheet1!O154)</f>
        <v>22056.826273584906</v>
      </c>
    </row>
    <row r="155" spans="1:23" ht="10">
      <c r="B155" s="31" t="s">
        <v>265</v>
      </c>
      <c r="C155" s="238">
        <f>SUM(C154)</f>
        <v>12000</v>
      </c>
      <c r="D155" s="238">
        <f>SUM(D154)</f>
        <v>1500</v>
      </c>
      <c r="E155" s="238">
        <f>SUM(E154)</f>
        <v>2000</v>
      </c>
      <c r="F155" s="248">
        <f>SUM(DID!C155)</f>
        <v>1000</v>
      </c>
      <c r="G155" s="238">
        <f t="shared" ref="G155:R155" si="43">SUM(G154)</f>
        <v>750</v>
      </c>
      <c r="H155" s="238">
        <f t="shared" si="43"/>
        <v>750</v>
      </c>
      <c r="I155" s="238">
        <f t="shared" ref="I155" si="44">SUM(I154)</f>
        <v>750</v>
      </c>
      <c r="J155" s="238">
        <f t="shared" si="43"/>
        <v>2000</v>
      </c>
      <c r="K155" s="238">
        <f t="shared" si="43"/>
        <v>1000</v>
      </c>
      <c r="L155" s="238">
        <f t="shared" si="43"/>
        <v>800</v>
      </c>
      <c r="M155" s="238">
        <f t="shared" si="43"/>
        <v>100</v>
      </c>
      <c r="N155" s="238">
        <f t="shared" si="43"/>
        <v>100</v>
      </c>
      <c r="O155" s="238">
        <f t="shared" si="43"/>
        <v>2500</v>
      </c>
      <c r="P155" s="238">
        <f>SUM(P154)</f>
        <v>2250</v>
      </c>
      <c r="Q155" s="238">
        <f t="shared" si="43"/>
        <v>2500</v>
      </c>
      <c r="R155" s="238">
        <f t="shared" si="43"/>
        <v>3000</v>
      </c>
      <c r="S155" s="238"/>
      <c r="T155" s="244">
        <f>SUM(T154)</f>
        <v>33000</v>
      </c>
      <c r="V155" s="106">
        <v>18629.669999999998</v>
      </c>
      <c r="W155" s="278">
        <f>SUM(W154)</f>
        <v>22056.826273584906</v>
      </c>
    </row>
    <row r="156" spans="1:23">
      <c r="C156" s="238"/>
      <c r="D156" s="238"/>
      <c r="E156" s="238"/>
      <c r="F156" s="248">
        <f>SUM(DID!C156)</f>
        <v>0</v>
      </c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44"/>
      <c r="V156" s="106"/>
    </row>
    <row r="157" spans="1:23">
      <c r="A157" s="31" t="s">
        <v>266</v>
      </c>
      <c r="C157" s="238"/>
      <c r="D157" s="238"/>
      <c r="E157" s="238"/>
      <c r="F157" s="248">
        <f>SUM(DID!C157)</f>
        <v>0</v>
      </c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44"/>
      <c r="V157" s="106"/>
    </row>
    <row r="158" spans="1:23" ht="12">
      <c r="A158" s="31" t="s">
        <v>73</v>
      </c>
      <c r="B158" s="31" t="s">
        <v>74</v>
      </c>
      <c r="C158" s="238">
        <v>24100</v>
      </c>
      <c r="D158" s="239">
        <f>SUM('AC-SVC'!C158)</f>
        <v>6000</v>
      </c>
      <c r="E158" s="239">
        <f>SUM('AC-SVC'!P158)</f>
        <v>4500</v>
      </c>
      <c r="F158" s="248">
        <f>SUM(DID!C158)</f>
        <v>2000</v>
      </c>
      <c r="G158" s="239">
        <f>SUM(DID!D158)</f>
        <v>2000</v>
      </c>
      <c r="H158" s="239">
        <f>SUM(DID!E158)</f>
        <v>2000</v>
      </c>
      <c r="I158" s="239">
        <f>SUM(DID!F158)</f>
        <v>2000</v>
      </c>
      <c r="J158" s="239">
        <f>SUM(FC!C158)</f>
        <v>1200</v>
      </c>
      <c r="K158" s="239">
        <f>SUM(FN!D158)</f>
        <v>600</v>
      </c>
      <c r="L158" s="239">
        <f>SUM(FN!E158)</f>
        <v>350</v>
      </c>
      <c r="M158" s="239">
        <f>SUM(FN!F158)</f>
        <v>600</v>
      </c>
      <c r="N158" s="239">
        <f>SUM(FN!G158)</f>
        <v>200</v>
      </c>
      <c r="O158" s="239">
        <f>SUM(FS!C158)</f>
        <v>2000</v>
      </c>
      <c r="P158" s="239">
        <f>SUM(HR!C158)</f>
        <v>750</v>
      </c>
      <c r="Q158" s="239">
        <f>SUM(HR!D158)</f>
        <v>1000</v>
      </c>
      <c r="R158" s="239">
        <f>SUM(IT!C158)</f>
        <v>750</v>
      </c>
      <c r="S158" s="238"/>
      <c r="T158" s="240">
        <f t="shared" ref="T158:T170" si="45">SUM(C158:R158)</f>
        <v>50050</v>
      </c>
      <c r="V158" s="107">
        <v>23444.49</v>
      </c>
      <c r="W158" s="282">
        <f>SUM(Sheet1!O158)</f>
        <v>27757.391462264153</v>
      </c>
    </row>
    <row r="159" spans="1:23" ht="12">
      <c r="A159" s="31" t="s">
        <v>75</v>
      </c>
      <c r="B159" s="31" t="s">
        <v>154</v>
      </c>
      <c r="C159" s="238"/>
      <c r="D159" s="239">
        <f>SUM('AC-SVC'!C159)</f>
        <v>0</v>
      </c>
      <c r="E159" s="239">
        <f>SUM('AC-SVC'!P159)</f>
        <v>800</v>
      </c>
      <c r="F159" s="248">
        <f>SUM(DID!C159)</f>
        <v>0</v>
      </c>
      <c r="G159" s="239">
        <f>SUM(DID!D159)</f>
        <v>900</v>
      </c>
      <c r="H159" s="239">
        <f>SUM(DID!E159)</f>
        <v>0</v>
      </c>
      <c r="I159" s="239">
        <f>SUM(DID!F159)</f>
        <v>0</v>
      </c>
      <c r="J159" s="239">
        <f>SUM(FC!C159)</f>
        <v>1500</v>
      </c>
      <c r="K159" s="239">
        <f>SUM(FN!D159)</f>
        <v>0</v>
      </c>
      <c r="L159" s="239">
        <f>SUM(FN!E159)</f>
        <v>6000</v>
      </c>
      <c r="M159" s="239">
        <f>SUM(FN!F159)</f>
        <v>0</v>
      </c>
      <c r="N159" s="239">
        <f>SUM(FN!G159)</f>
        <v>0</v>
      </c>
      <c r="O159" s="239">
        <f>SUM(FS!C159)</f>
        <v>2400</v>
      </c>
      <c r="P159" s="239">
        <f>SUM(HR!C159)</f>
        <v>10000</v>
      </c>
      <c r="Q159" s="239">
        <f>SUM(HR!D159)</f>
        <v>0</v>
      </c>
      <c r="R159" s="239">
        <f>SUM(IT!C159)</f>
        <v>2857</v>
      </c>
      <c r="S159" s="238"/>
      <c r="T159" s="240">
        <f t="shared" si="45"/>
        <v>24457</v>
      </c>
      <c r="V159" s="107">
        <v>6664.98</v>
      </c>
      <c r="W159" s="282">
        <f>SUM(Sheet1!O159)</f>
        <v>7891.0848113207539</v>
      </c>
    </row>
    <row r="160" spans="1:23" ht="12">
      <c r="A160" s="31" t="s">
        <v>442</v>
      </c>
      <c r="B160" s="31" t="s">
        <v>97</v>
      </c>
      <c r="C160" s="238"/>
      <c r="D160" s="239">
        <f>SUM('AC-SVC'!C160)</f>
        <v>0</v>
      </c>
      <c r="E160" s="239">
        <f>SUM('AC-SVC'!P160)</f>
        <v>0</v>
      </c>
      <c r="F160" s="248">
        <f>SUM(DID!C160)</f>
        <v>0</v>
      </c>
      <c r="G160" s="239">
        <f>SUM(DID!D160)</f>
        <v>0</v>
      </c>
      <c r="H160" s="239">
        <f>SUM(DID!E160)</f>
        <v>1850</v>
      </c>
      <c r="I160" s="239">
        <f>SUM(DID!F160)</f>
        <v>0</v>
      </c>
      <c r="J160" s="239">
        <f>SUM(FC!C160)</f>
        <v>0</v>
      </c>
      <c r="K160" s="239">
        <f>SUM(FN!D160)</f>
        <v>0</v>
      </c>
      <c r="L160" s="239">
        <f>SUM(FN!E160)</f>
        <v>0</v>
      </c>
      <c r="M160" s="239">
        <f>SUM(FN!F160)</f>
        <v>0</v>
      </c>
      <c r="N160" s="239">
        <f>SUM(FN!G160)</f>
        <v>0</v>
      </c>
      <c r="O160" s="239">
        <f>SUM(FS!C160)</f>
        <v>1000</v>
      </c>
      <c r="P160" s="239">
        <f>SUM(HR!C160)</f>
        <v>0</v>
      </c>
      <c r="Q160" s="239">
        <f>SUM(HR!D160)</f>
        <v>0</v>
      </c>
      <c r="R160" s="239">
        <f>SUM(IT!C160)</f>
        <v>0</v>
      </c>
      <c r="S160" s="238"/>
      <c r="T160" s="240">
        <f t="shared" si="45"/>
        <v>2850</v>
      </c>
      <c r="V160" s="107">
        <v>2975.63</v>
      </c>
      <c r="W160" s="282">
        <f>SUM(Sheet1!O160)</f>
        <v>3523.0336320754718</v>
      </c>
    </row>
    <row r="161" spans="1:23" ht="12">
      <c r="A161" s="31" t="s">
        <v>443</v>
      </c>
      <c r="B161" s="31" t="s">
        <v>421</v>
      </c>
      <c r="C161" s="238"/>
      <c r="D161" s="239">
        <f>SUM('AC-SVC'!C161)</f>
        <v>0</v>
      </c>
      <c r="E161" s="239">
        <f>SUM('AC-SVC'!P161)</f>
        <v>0</v>
      </c>
      <c r="F161" s="239">
        <f>SUM(DID!C161)</f>
        <v>50</v>
      </c>
      <c r="G161" s="239">
        <f>SUM(DID!D161)</f>
        <v>50</v>
      </c>
      <c r="H161" s="239">
        <f>SUM(DID!E161)</f>
        <v>50</v>
      </c>
      <c r="I161" s="239">
        <f>SUM(DID!F161)</f>
        <v>50</v>
      </c>
      <c r="J161" s="239">
        <f>SUM(FC!C161)</f>
        <v>0</v>
      </c>
      <c r="K161" s="239">
        <f>SUM(FN!D161)</f>
        <v>0</v>
      </c>
      <c r="L161" s="239">
        <f>SUM(FN!E161)</f>
        <v>0</v>
      </c>
      <c r="M161" s="239">
        <f>SUM(FN!F161)</f>
        <v>0</v>
      </c>
      <c r="N161" s="239">
        <f>SUM(FN!G161)</f>
        <v>0</v>
      </c>
      <c r="O161" s="239">
        <f>SUM(FS!C161)</f>
        <v>0</v>
      </c>
      <c r="P161" s="239">
        <f>SUM(HR!C161)</f>
        <v>0</v>
      </c>
      <c r="Q161" s="239">
        <f>SUM(HR!D161)</f>
        <v>0</v>
      </c>
      <c r="R161" s="239">
        <f>SUM(IT!C161)</f>
        <v>3923</v>
      </c>
      <c r="S161" s="238"/>
      <c r="T161" s="240">
        <f t="shared" si="45"/>
        <v>4123</v>
      </c>
      <c r="V161" s="107">
        <v>4544.76</v>
      </c>
      <c r="W161" s="282">
        <f>SUM(Sheet1!O161)</f>
        <v>5380.8243396226417</v>
      </c>
    </row>
    <row r="162" spans="1:23" ht="12">
      <c r="A162" s="31" t="s">
        <v>444</v>
      </c>
      <c r="B162" s="31" t="s">
        <v>423</v>
      </c>
      <c r="C162" s="238"/>
      <c r="D162" s="239">
        <f>SUM('AC-SVC'!C162)</f>
        <v>0</v>
      </c>
      <c r="E162" s="239">
        <f>SUM('AC-SVC'!P162)</f>
        <v>500</v>
      </c>
      <c r="F162" s="239">
        <f>SUM(DID!C162)</f>
        <v>750</v>
      </c>
      <c r="G162" s="239">
        <f>SUM(DID!D162)</f>
        <v>0</v>
      </c>
      <c r="H162" s="239">
        <f>SUM(DID!E162)</f>
        <v>0</v>
      </c>
      <c r="I162" s="239">
        <f>SUM(DID!F162)</f>
        <v>0</v>
      </c>
      <c r="J162" s="239">
        <f>SUM(FC!C162)</f>
        <v>1000</v>
      </c>
      <c r="K162" s="239">
        <f>SUM(FN!D162)</f>
        <v>2500</v>
      </c>
      <c r="L162" s="239">
        <f>SUM(FN!E162)</f>
        <v>0</v>
      </c>
      <c r="M162" s="239">
        <f>SUM(FN!F162)</f>
        <v>1250</v>
      </c>
      <c r="N162" s="239">
        <f>SUM(FN!G162)</f>
        <v>1250</v>
      </c>
      <c r="O162" s="239">
        <f>SUM(FS!C162)</f>
        <v>0</v>
      </c>
      <c r="P162" s="239">
        <f>SUM(HR!C162)</f>
        <v>3000</v>
      </c>
      <c r="Q162" s="239">
        <f>SUM(HR!D162)</f>
        <v>1000</v>
      </c>
      <c r="R162" s="239">
        <f>SUM(IT!C162)</f>
        <v>15590</v>
      </c>
      <c r="S162" s="238"/>
      <c r="T162" s="240">
        <f t="shared" si="45"/>
        <v>26840</v>
      </c>
      <c r="V162" s="107">
        <v>36719.980000000003</v>
      </c>
      <c r="W162" s="282">
        <f>SUM(Sheet1!O162)</f>
        <v>43475.070660377365</v>
      </c>
    </row>
    <row r="163" spans="1:23" ht="12">
      <c r="A163" s="31" t="s">
        <v>445</v>
      </c>
      <c r="B163" s="31" t="s">
        <v>416</v>
      </c>
      <c r="C163" s="238"/>
      <c r="D163" s="239">
        <f>SUM('AC-SVC'!C163)</f>
        <v>0</v>
      </c>
      <c r="E163" s="239">
        <f>SUM('AC-SVC'!P163)</f>
        <v>0</v>
      </c>
      <c r="F163" s="239">
        <f>SUM(DID!C163)</f>
        <v>0</v>
      </c>
      <c r="G163" s="239">
        <f>SUM(DID!D163)</f>
        <v>0</v>
      </c>
      <c r="H163" s="239">
        <f>SUM(DID!E163)</f>
        <v>0</v>
      </c>
      <c r="I163" s="239">
        <f>SUM(DID!F163)</f>
        <v>0</v>
      </c>
      <c r="J163" s="239">
        <f>SUM(FC!C163)</f>
        <v>7000</v>
      </c>
      <c r="K163" s="239">
        <f>SUM(FN!D163)</f>
        <v>0</v>
      </c>
      <c r="L163" s="239">
        <f>SUM(FN!E163)</f>
        <v>0</v>
      </c>
      <c r="M163" s="239">
        <f>SUM(FN!F163)</f>
        <v>0</v>
      </c>
      <c r="N163" s="239">
        <f>SUM(FN!G163)</f>
        <v>0</v>
      </c>
      <c r="O163" s="239">
        <f>SUM(FS!C163)</f>
        <v>1500</v>
      </c>
      <c r="P163" s="239">
        <f>SUM(HR!C163)</f>
        <v>0</v>
      </c>
      <c r="Q163" s="239">
        <f>SUM(HR!D163)</f>
        <v>0</v>
      </c>
      <c r="R163" s="239">
        <f>SUM(IT!C163)</f>
        <v>0</v>
      </c>
      <c r="S163" s="238"/>
      <c r="T163" s="240">
        <f t="shared" si="45"/>
        <v>8500</v>
      </c>
      <c r="V163" s="107">
        <v>1997.04</v>
      </c>
      <c r="W163" s="282">
        <f>SUM(Sheet1!O163)</f>
        <v>2364.42</v>
      </c>
    </row>
    <row r="164" spans="1:23" ht="12">
      <c r="A164" s="31" t="s">
        <v>76</v>
      </c>
      <c r="B164" s="31" t="s">
        <v>155</v>
      </c>
      <c r="C164" s="238"/>
      <c r="D164" s="239">
        <f>SUM('AC-SVC'!C164)</f>
        <v>0</v>
      </c>
      <c r="E164" s="239">
        <f>SUM('AC-SVC'!P164)</f>
        <v>0</v>
      </c>
      <c r="F164" s="239">
        <f>SUM(DID!C164)</f>
        <v>0</v>
      </c>
      <c r="G164" s="239">
        <f>SUM(DID!D164)</f>
        <v>0</v>
      </c>
      <c r="H164" s="239">
        <f>SUM(DID!E164)</f>
        <v>0</v>
      </c>
      <c r="I164" s="239">
        <f>SUM(DID!F164)</f>
        <v>0</v>
      </c>
      <c r="J164" s="239">
        <f>SUM(FC!C164)</f>
        <v>0</v>
      </c>
      <c r="K164" s="239">
        <f>SUM(FN!D164)</f>
        <v>0</v>
      </c>
      <c r="L164" s="239">
        <f>SUM(FN!E164)</f>
        <v>0</v>
      </c>
      <c r="M164" s="239">
        <f>SUM(FN!F164)</f>
        <v>0</v>
      </c>
      <c r="N164" s="239">
        <f>SUM(FN!G164)</f>
        <v>0</v>
      </c>
      <c r="O164" s="239">
        <f>SUM(FS!C164)</f>
        <v>0</v>
      </c>
      <c r="P164" s="239">
        <f>SUM(HR!C164)</f>
        <v>0</v>
      </c>
      <c r="Q164" s="239">
        <f>SUM(HR!D164)</f>
        <v>0</v>
      </c>
      <c r="R164" s="239">
        <f>SUM(IT!C164)</f>
        <v>0</v>
      </c>
      <c r="S164" s="238"/>
      <c r="T164" s="240">
        <f t="shared" si="45"/>
        <v>0</v>
      </c>
      <c r="V164" s="107">
        <v>19875.060000000001</v>
      </c>
      <c r="W164" s="282">
        <f>SUM(Sheet1!O164)</f>
        <v>23531.321037735852</v>
      </c>
    </row>
    <row r="165" spans="1:23" ht="12">
      <c r="A165" s="31" t="s">
        <v>79</v>
      </c>
      <c r="B165" s="31" t="s">
        <v>156</v>
      </c>
      <c r="C165" s="238"/>
      <c r="D165" s="239">
        <f>SUM('AC-SVC'!C165)</f>
        <v>0</v>
      </c>
      <c r="E165" s="239">
        <f>SUM('AC-SVC'!P165)</f>
        <v>0</v>
      </c>
      <c r="F165" s="239">
        <f>SUM(DID!C165)</f>
        <v>0</v>
      </c>
      <c r="G165" s="239">
        <f>SUM(DID!D165)</f>
        <v>0</v>
      </c>
      <c r="H165" s="239">
        <f>SUM(DID!E165)</f>
        <v>0</v>
      </c>
      <c r="I165" s="239">
        <f>SUM(DID!F165)</f>
        <v>0</v>
      </c>
      <c r="J165" s="239">
        <f>SUM(FC!C165)</f>
        <v>0</v>
      </c>
      <c r="K165" s="239">
        <f>SUM(FN!D165)</f>
        <v>0</v>
      </c>
      <c r="L165" s="239">
        <f>SUM(FN!E165)</f>
        <v>0</v>
      </c>
      <c r="M165" s="239">
        <f>SUM(FN!F165)</f>
        <v>0</v>
      </c>
      <c r="N165" s="239">
        <f>SUM(FN!G165)</f>
        <v>0</v>
      </c>
      <c r="O165" s="239">
        <f>SUM(FS!C165)</f>
        <v>0</v>
      </c>
      <c r="P165" s="239">
        <f>SUM(HR!C165)</f>
        <v>0</v>
      </c>
      <c r="Q165" s="239">
        <f>SUM(HR!D165)</f>
        <v>0</v>
      </c>
      <c r="R165" s="239">
        <f>SUM(IT!C165)</f>
        <v>0</v>
      </c>
      <c r="S165" s="238"/>
      <c r="T165" s="240">
        <f t="shared" si="45"/>
        <v>0</v>
      </c>
      <c r="V165" s="107"/>
      <c r="W165" s="282">
        <f>SUM(Sheet1!O165)</f>
        <v>0</v>
      </c>
    </row>
    <row r="166" spans="1:23" ht="12">
      <c r="A166" s="31" t="s">
        <v>78</v>
      </c>
      <c r="B166" s="31" t="s">
        <v>157</v>
      </c>
      <c r="C166" s="238"/>
      <c r="D166" s="239">
        <f>SUM('AC-SVC'!C166)</f>
        <v>0</v>
      </c>
      <c r="E166" s="239">
        <f>SUM('AC-SVC'!P166)</f>
        <v>0</v>
      </c>
      <c r="F166" s="239">
        <f>SUM(DID!C166)</f>
        <v>0</v>
      </c>
      <c r="G166" s="239">
        <f>SUM(DID!D166)</f>
        <v>0</v>
      </c>
      <c r="H166" s="239">
        <f>SUM(DID!E166)</f>
        <v>0</v>
      </c>
      <c r="I166" s="239">
        <f>SUM(DID!F166)</f>
        <v>0</v>
      </c>
      <c r="J166" s="239">
        <f>SUM(FC!C166)</f>
        <v>0</v>
      </c>
      <c r="K166" s="239">
        <f>SUM(FN!D166)</f>
        <v>0</v>
      </c>
      <c r="L166" s="239">
        <f>SUM(FN!E166)</f>
        <v>0</v>
      </c>
      <c r="M166" s="239">
        <f>SUM(FN!F166)</f>
        <v>0</v>
      </c>
      <c r="N166" s="239">
        <f>SUM(FN!G166)</f>
        <v>0</v>
      </c>
      <c r="O166" s="239">
        <f>SUM(FS!C166)</f>
        <v>0</v>
      </c>
      <c r="P166" s="239">
        <f>SUM(HR!C166)</f>
        <v>0</v>
      </c>
      <c r="Q166" s="239">
        <f>SUM(HR!D166)</f>
        <v>0</v>
      </c>
      <c r="R166" s="239">
        <f>SUM(IT!C166)</f>
        <v>0</v>
      </c>
      <c r="S166" s="238"/>
      <c r="T166" s="240">
        <f t="shared" si="45"/>
        <v>0</v>
      </c>
      <c r="V166" s="107"/>
      <c r="W166" s="282">
        <f>SUM(Sheet1!O166)</f>
        <v>0</v>
      </c>
    </row>
    <row r="167" spans="1:23" ht="12">
      <c r="A167" s="31" t="s">
        <v>77</v>
      </c>
      <c r="B167" s="31" t="s">
        <v>158</v>
      </c>
      <c r="C167" s="238"/>
      <c r="D167" s="239">
        <f>SUM('AC-SVC'!C167)</f>
        <v>0</v>
      </c>
      <c r="E167" s="239">
        <f>SUM('AC-SVC'!P167)</f>
        <v>0</v>
      </c>
      <c r="F167" s="239">
        <f>SUM(DID!C167)</f>
        <v>0</v>
      </c>
      <c r="G167" s="239">
        <f>SUM(DID!D167)</f>
        <v>0</v>
      </c>
      <c r="H167" s="239">
        <f>SUM(DID!E167)</f>
        <v>0</v>
      </c>
      <c r="I167" s="239">
        <f>SUM(DID!F167)</f>
        <v>0</v>
      </c>
      <c r="J167" s="239">
        <f>SUM(FC!C167)</f>
        <v>0</v>
      </c>
      <c r="K167" s="239">
        <f>SUM(FN!D167)</f>
        <v>0</v>
      </c>
      <c r="L167" s="239">
        <f>SUM(FN!E167)</f>
        <v>0</v>
      </c>
      <c r="M167" s="239">
        <f>SUM(FN!F167)</f>
        <v>0</v>
      </c>
      <c r="N167" s="239">
        <f>SUM(FN!G167)</f>
        <v>0</v>
      </c>
      <c r="O167" s="239">
        <f>SUM(FS!C167)</f>
        <v>0</v>
      </c>
      <c r="P167" s="239">
        <f>SUM(HR!C167)</f>
        <v>0</v>
      </c>
      <c r="Q167" s="239">
        <f>SUM(HR!D167)</f>
        <v>0</v>
      </c>
      <c r="R167" s="239">
        <f>SUM(IT!C167)</f>
        <v>0</v>
      </c>
      <c r="S167" s="238"/>
      <c r="T167" s="240">
        <f t="shared" si="45"/>
        <v>0</v>
      </c>
      <c r="V167" s="107"/>
      <c r="W167" s="282">
        <f>SUM(Sheet1!O167)</f>
        <v>0</v>
      </c>
    </row>
    <row r="168" spans="1:23" ht="12">
      <c r="A168" s="31" t="s">
        <v>80</v>
      </c>
      <c r="B168" s="31" t="s">
        <v>159</v>
      </c>
      <c r="C168" s="238"/>
      <c r="D168" s="239">
        <f>SUM('AC-SVC'!C168)</f>
        <v>0</v>
      </c>
      <c r="E168" s="239">
        <f>SUM('AC-SVC'!P168)</f>
        <v>0</v>
      </c>
      <c r="F168" s="239">
        <f>SUM(DID!C168)</f>
        <v>0</v>
      </c>
      <c r="G168" s="239">
        <f>SUM(DID!D168)</f>
        <v>0</v>
      </c>
      <c r="H168" s="239">
        <f>SUM(DID!E168)</f>
        <v>0</v>
      </c>
      <c r="I168" s="239">
        <f>SUM(DID!F168)</f>
        <v>0</v>
      </c>
      <c r="J168" s="239">
        <f>SUM(FC!C168)</f>
        <v>0</v>
      </c>
      <c r="K168" s="239">
        <f>SUM(FN!D168)</f>
        <v>0</v>
      </c>
      <c r="L168" s="239">
        <f>SUM(FN!E168)</f>
        <v>0</v>
      </c>
      <c r="M168" s="239">
        <f>SUM(FN!F168)</f>
        <v>0</v>
      </c>
      <c r="N168" s="239">
        <f>SUM(FN!G168)</f>
        <v>0</v>
      </c>
      <c r="O168" s="239">
        <f>SUM(FS!C168)</f>
        <v>0</v>
      </c>
      <c r="P168" s="239">
        <f>SUM(HR!C168)</f>
        <v>0</v>
      </c>
      <c r="Q168" s="239">
        <f>SUM(HR!D168)</f>
        <v>0</v>
      </c>
      <c r="R168" s="239">
        <f>SUM(IT!C168)</f>
        <v>0</v>
      </c>
      <c r="S168" s="238"/>
      <c r="T168" s="240">
        <f t="shared" si="45"/>
        <v>0</v>
      </c>
      <c r="V168" s="107"/>
      <c r="W168" s="282">
        <f>SUM(Sheet1!O168)</f>
        <v>0</v>
      </c>
    </row>
    <row r="169" spans="1:23" ht="12">
      <c r="A169" s="31" t="s">
        <v>81</v>
      </c>
      <c r="B169" s="31" t="s">
        <v>160</v>
      </c>
      <c r="C169" s="238">
        <v>300</v>
      </c>
      <c r="D169" s="239">
        <f>SUM('AC-SVC'!C169)</f>
        <v>0</v>
      </c>
      <c r="E169" s="239">
        <f>SUM('AC-SVC'!P169)</f>
        <v>1000</v>
      </c>
      <c r="F169" s="239">
        <f>SUM(DID!C169)</f>
        <v>0</v>
      </c>
      <c r="G169" s="239">
        <f>SUM(DID!D169)</f>
        <v>0</v>
      </c>
      <c r="H169" s="239">
        <f>SUM(DID!E169)</f>
        <v>0</v>
      </c>
      <c r="I169" s="239">
        <f>SUM(DID!F169)</f>
        <v>0</v>
      </c>
      <c r="J169" s="239">
        <f>SUM(FC!C169)</f>
        <v>0</v>
      </c>
      <c r="K169" s="239">
        <f>SUM(FN!D169)</f>
        <v>0</v>
      </c>
      <c r="L169" s="239">
        <f>SUM(FN!E169)</f>
        <v>0</v>
      </c>
      <c r="M169" s="239">
        <f>SUM(FN!F169)</f>
        <v>0</v>
      </c>
      <c r="N169" s="239">
        <f>SUM(FN!G169)</f>
        <v>0</v>
      </c>
      <c r="O169" s="239">
        <f>SUM(FS!C169)</f>
        <v>0</v>
      </c>
      <c r="P169" s="239">
        <f>SUM(HR!C169)</f>
        <v>0</v>
      </c>
      <c r="Q169" s="239">
        <f>SUM(HR!D169)</f>
        <v>0</v>
      </c>
      <c r="R169" s="239">
        <f>SUM(IT!C169)</f>
        <v>0</v>
      </c>
      <c r="S169" s="238"/>
      <c r="T169" s="240">
        <f t="shared" si="45"/>
        <v>1300</v>
      </c>
      <c r="V169" s="107"/>
      <c r="W169" s="282">
        <f>SUM(Sheet1!O169)</f>
        <v>0</v>
      </c>
    </row>
    <row r="170" spans="1:23" ht="12">
      <c r="A170" s="31" t="s">
        <v>161</v>
      </c>
      <c r="B170" s="31" t="s">
        <v>162</v>
      </c>
      <c r="C170" s="241"/>
      <c r="D170" s="241">
        <f>SUM('AC-SVC'!C170)</f>
        <v>0</v>
      </c>
      <c r="E170" s="241">
        <f>SUM('AC-SVC'!P170)</f>
        <v>8000</v>
      </c>
      <c r="F170" s="241">
        <f>SUM(DID!C170)</f>
        <v>0</v>
      </c>
      <c r="G170" s="241">
        <f>SUM(DID!D170)</f>
        <v>0</v>
      </c>
      <c r="H170" s="241">
        <f>SUM(DID!E170)</f>
        <v>0</v>
      </c>
      <c r="I170" s="241">
        <f>SUM(DID!F170)</f>
        <v>0</v>
      </c>
      <c r="J170" s="241">
        <f>SUM(FC!C170)</f>
        <v>0</v>
      </c>
      <c r="K170" s="241">
        <f>SUM(FN!D170)</f>
        <v>0</v>
      </c>
      <c r="L170" s="241">
        <f>SUM(FN!E170)</f>
        <v>0</v>
      </c>
      <c r="M170" s="241">
        <f>SUM(FN!F170)</f>
        <v>0</v>
      </c>
      <c r="N170" s="241">
        <f>SUM(FN!G170)</f>
        <v>0</v>
      </c>
      <c r="O170" s="241">
        <f>SUM(FS!C170)</f>
        <v>0</v>
      </c>
      <c r="P170" s="241">
        <f>SUM(HR!C170)</f>
        <v>0</v>
      </c>
      <c r="Q170" s="241">
        <f>SUM(HR!D170)</f>
        <v>0</v>
      </c>
      <c r="R170" s="241">
        <f>SUM(IT!C170)</f>
        <v>0</v>
      </c>
      <c r="S170" s="238"/>
      <c r="T170" s="242">
        <f t="shared" si="45"/>
        <v>8000</v>
      </c>
      <c r="V170" s="108"/>
      <c r="W170" s="283">
        <f>SUM(Sheet1!O170)</f>
        <v>0</v>
      </c>
    </row>
    <row r="171" spans="1:23" ht="10">
      <c r="B171" s="31" t="s">
        <v>163</v>
      </c>
      <c r="C171" s="238">
        <f>SUM(C158:C170)</f>
        <v>24400</v>
      </c>
      <c r="D171" s="238">
        <f>SUM(D158:D170)</f>
        <v>6000</v>
      </c>
      <c r="E171" s="238">
        <f>SUM(E158:E170)</f>
        <v>14800</v>
      </c>
      <c r="F171" s="238">
        <f t="shared" ref="F171:R171" si="46">SUM(F158:F170)</f>
        <v>2800</v>
      </c>
      <c r="G171" s="238">
        <f t="shared" si="46"/>
        <v>2950</v>
      </c>
      <c r="H171" s="238">
        <f t="shared" si="46"/>
        <v>3900</v>
      </c>
      <c r="I171" s="238">
        <f t="shared" si="46"/>
        <v>2050</v>
      </c>
      <c r="J171" s="238">
        <f t="shared" si="46"/>
        <v>10700</v>
      </c>
      <c r="K171" s="238">
        <f t="shared" si="46"/>
        <v>3100</v>
      </c>
      <c r="L171" s="238">
        <f t="shared" si="46"/>
        <v>6350</v>
      </c>
      <c r="M171" s="238">
        <f t="shared" si="46"/>
        <v>1850</v>
      </c>
      <c r="N171" s="238">
        <f t="shared" si="46"/>
        <v>1450</v>
      </c>
      <c r="O171" s="238">
        <f t="shared" si="46"/>
        <v>6900</v>
      </c>
      <c r="P171" s="238">
        <f>SUM(P158:P170)</f>
        <v>13750</v>
      </c>
      <c r="Q171" s="238">
        <f t="shared" si="46"/>
        <v>2000</v>
      </c>
      <c r="R171" s="238">
        <f t="shared" si="46"/>
        <v>23120</v>
      </c>
      <c r="S171" s="238"/>
      <c r="T171" s="244">
        <f>SUM(T158:T170)</f>
        <v>126120</v>
      </c>
      <c r="V171" s="106">
        <v>96221.939999999988</v>
      </c>
      <c r="W171" s="278">
        <f>SUM(W158:W170)</f>
        <v>113923.14594339623</v>
      </c>
    </row>
    <row r="172" spans="1:23"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44"/>
      <c r="V172" s="106"/>
    </row>
    <row r="173" spans="1:23">
      <c r="A173" s="31" t="s">
        <v>164</v>
      </c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44"/>
      <c r="V173" s="106"/>
    </row>
    <row r="174" spans="1:23">
      <c r="A174" s="31" t="s">
        <v>165</v>
      </c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44"/>
      <c r="V174" s="106"/>
    </row>
    <row r="175" spans="1:23" ht="12">
      <c r="A175" s="31" t="s">
        <v>86</v>
      </c>
      <c r="B175" s="31" t="s">
        <v>85</v>
      </c>
      <c r="C175" s="238">
        <f>35000+5000+1000</f>
        <v>41000</v>
      </c>
      <c r="D175" s="239">
        <f>SUM('AC-SVC'!C175)</f>
        <v>0</v>
      </c>
      <c r="E175" s="239">
        <f>SUM('AC-SVC'!P175)</f>
        <v>200</v>
      </c>
      <c r="F175" s="239">
        <f>SUM(DID!C175)</f>
        <v>750</v>
      </c>
      <c r="G175" s="239">
        <f>SUM(DID!D175)</f>
        <v>500</v>
      </c>
      <c r="H175" s="239">
        <f>SUM(DID!E175)</f>
        <v>500</v>
      </c>
      <c r="I175" s="239">
        <f>SUM(DID!F175)</f>
        <v>500</v>
      </c>
      <c r="J175" s="239">
        <f>SUM(FC!C175)</f>
        <v>0</v>
      </c>
      <c r="K175" s="239">
        <f>SUM(FN!D175)</f>
        <v>0</v>
      </c>
      <c r="L175" s="239">
        <f>SUM(FN!E175)</f>
        <v>12300</v>
      </c>
      <c r="M175" s="239">
        <f>SUM(FN!F175)</f>
        <v>0</v>
      </c>
      <c r="N175" s="239">
        <f>SUM(FN!G175)</f>
        <v>0</v>
      </c>
      <c r="O175" s="239">
        <f>SUM(FS!C175)</f>
        <v>120</v>
      </c>
      <c r="P175" s="239">
        <f>SUM(HR!C175)</f>
        <v>0</v>
      </c>
      <c r="Q175" s="239">
        <f>SUM(HR!D175)</f>
        <v>500</v>
      </c>
      <c r="R175" s="239">
        <f>SUM(IT!C175)</f>
        <v>0</v>
      </c>
      <c r="S175" s="238"/>
      <c r="T175" s="240">
        <f t="shared" ref="T175:T185" si="47">SUM(C175:R175)</f>
        <v>56370</v>
      </c>
      <c r="V175" s="107">
        <v>47846.25</v>
      </c>
      <c r="W175" s="282">
        <f>SUM(Sheet1!O175)</f>
        <v>56648.154481132071</v>
      </c>
    </row>
    <row r="176" spans="1:23" ht="12">
      <c r="A176" s="31" t="s">
        <v>91</v>
      </c>
      <c r="B176" s="31" t="s">
        <v>92</v>
      </c>
      <c r="C176" s="238"/>
      <c r="D176" s="239">
        <f>SUM('AC-SVC'!C176)</f>
        <v>0</v>
      </c>
      <c r="E176" s="239">
        <f>SUM('AC-SVC'!P176)</f>
        <v>0</v>
      </c>
      <c r="F176" s="239">
        <f>SUM(DID!C176)</f>
        <v>0</v>
      </c>
      <c r="G176" s="239">
        <f>SUM(DID!D176)</f>
        <v>0</v>
      </c>
      <c r="H176" s="239">
        <f>SUM(DID!E176)</f>
        <v>0</v>
      </c>
      <c r="I176" s="239">
        <f>SUM(DID!F176)</f>
        <v>0</v>
      </c>
      <c r="J176" s="239">
        <f>SUM(FC!C176)</f>
        <v>0</v>
      </c>
      <c r="K176" s="239">
        <f>SUM(FN!D176)</f>
        <v>0</v>
      </c>
      <c r="L176" s="239">
        <f>SUM(FN!E176)</f>
        <v>0</v>
      </c>
      <c r="M176" s="239">
        <f>SUM(FN!F176)</f>
        <v>0</v>
      </c>
      <c r="N176" s="239">
        <f>SUM(FN!G176)</f>
        <v>0</v>
      </c>
      <c r="O176" s="239">
        <f>SUM(FS!C176)</f>
        <v>0</v>
      </c>
      <c r="P176" s="239">
        <f>SUM(HR!C176)</f>
        <v>0</v>
      </c>
      <c r="Q176" s="239">
        <f>SUM(HR!D176)</f>
        <v>0</v>
      </c>
      <c r="R176" s="239">
        <f>SUM(IT!C176)</f>
        <v>0</v>
      </c>
      <c r="S176" s="238"/>
      <c r="T176" s="240">
        <f t="shared" si="47"/>
        <v>0</v>
      </c>
      <c r="V176" s="107">
        <v>49512.59</v>
      </c>
      <c r="W176" s="282">
        <f>SUM(Sheet1!O176)</f>
        <v>58621.038160377357</v>
      </c>
    </row>
    <row r="177" spans="1:23" ht="12">
      <c r="A177" s="31" t="s">
        <v>93</v>
      </c>
      <c r="B177" s="31" t="s">
        <v>94</v>
      </c>
      <c r="C177" s="238"/>
      <c r="D177" s="239">
        <f>SUM('AC-SVC'!C177)</f>
        <v>0</v>
      </c>
      <c r="E177" s="239">
        <f>SUM('AC-SVC'!P177)</f>
        <v>0</v>
      </c>
      <c r="F177" s="239">
        <f>SUM(DID!C177)</f>
        <v>0</v>
      </c>
      <c r="G177" s="239">
        <f>SUM(DID!D177)</f>
        <v>0</v>
      </c>
      <c r="H177" s="239">
        <f>SUM(DID!E177)</f>
        <v>0</v>
      </c>
      <c r="I177" s="239">
        <f>SUM(DID!F177)</f>
        <v>0</v>
      </c>
      <c r="J177" s="239">
        <f>SUM(FC!C177)</f>
        <v>0</v>
      </c>
      <c r="K177" s="239">
        <f>SUM(FN!D177)</f>
        <v>0</v>
      </c>
      <c r="L177" s="239">
        <f>SUM(FN!E177)</f>
        <v>0</v>
      </c>
      <c r="M177" s="239">
        <f>SUM(FN!F177)</f>
        <v>0</v>
      </c>
      <c r="N177" s="239">
        <f>SUM(FN!G177)</f>
        <v>0</v>
      </c>
      <c r="O177" s="239">
        <f>SUM(FS!C177)</f>
        <v>0</v>
      </c>
      <c r="P177" s="239">
        <f>SUM(HR!C177)</f>
        <v>0</v>
      </c>
      <c r="Q177" s="239">
        <f>SUM(HR!D177)</f>
        <v>0</v>
      </c>
      <c r="R177" s="239">
        <f>SUM(IT!C177)</f>
        <v>0</v>
      </c>
      <c r="S177" s="238"/>
      <c r="T177" s="240">
        <f t="shared" si="47"/>
        <v>0</v>
      </c>
      <c r="V177" s="107"/>
      <c r="W177" s="282">
        <f>SUM(Sheet1!O177)</f>
        <v>0</v>
      </c>
    </row>
    <row r="178" spans="1:23" ht="12">
      <c r="A178" s="31" t="s">
        <v>95</v>
      </c>
      <c r="B178" s="31" t="s">
        <v>405</v>
      </c>
      <c r="C178" s="238"/>
      <c r="D178" s="239">
        <f>SUM('AC-SVC'!C178)</f>
        <v>0</v>
      </c>
      <c r="E178" s="239">
        <f>SUM('AC-SVC'!P178)</f>
        <v>0</v>
      </c>
      <c r="F178" s="239">
        <f>SUM(DID!C178)</f>
        <v>0</v>
      </c>
      <c r="G178" s="239">
        <f>SUM(DID!D178)</f>
        <v>0</v>
      </c>
      <c r="H178" s="239">
        <f>SUM(DID!E178)</f>
        <v>0</v>
      </c>
      <c r="I178" s="239">
        <f>SUM(DID!F178)</f>
        <v>0</v>
      </c>
      <c r="J178" s="239">
        <f>SUM(FC!C178)</f>
        <v>0</v>
      </c>
      <c r="K178" s="239">
        <f>SUM(FN!D178)</f>
        <v>0</v>
      </c>
      <c r="L178" s="239">
        <f>SUM(FN!E178)</f>
        <v>0</v>
      </c>
      <c r="M178" s="239">
        <f>SUM(FN!F178)</f>
        <v>0</v>
      </c>
      <c r="N178" s="239">
        <f>SUM(FN!G178)</f>
        <v>0</v>
      </c>
      <c r="O178" s="239">
        <f>SUM(FS!C178)</f>
        <v>0</v>
      </c>
      <c r="P178" s="239">
        <f>SUM(HR!C178)</f>
        <v>0</v>
      </c>
      <c r="Q178" s="239">
        <f>SUM(HR!D178)</f>
        <v>0</v>
      </c>
      <c r="R178" s="239">
        <f>SUM(IT!C178)</f>
        <v>0</v>
      </c>
      <c r="S178" s="238"/>
      <c r="T178" s="240">
        <f t="shared" si="47"/>
        <v>0</v>
      </c>
      <c r="V178" s="107"/>
      <c r="W178" s="282">
        <f>SUM(Sheet1!O178)</f>
        <v>0</v>
      </c>
    </row>
    <row r="179" spans="1:23" ht="12">
      <c r="A179" s="31" t="s">
        <v>96</v>
      </c>
      <c r="B179" s="31" t="s">
        <v>404</v>
      </c>
      <c r="C179" s="238"/>
      <c r="D179" s="239">
        <f>SUM('AC-SVC'!C179)</f>
        <v>0</v>
      </c>
      <c r="E179" s="239">
        <f>SUM('AC-SVC'!P179)</f>
        <v>0</v>
      </c>
      <c r="F179" s="239">
        <f>SUM(DID!C179)</f>
        <v>0</v>
      </c>
      <c r="G179" s="239">
        <f>SUM(DID!D179)</f>
        <v>0</v>
      </c>
      <c r="H179" s="239">
        <f>SUM(DID!E179)</f>
        <v>0</v>
      </c>
      <c r="I179" s="239">
        <f>SUM(DID!F179)</f>
        <v>0</v>
      </c>
      <c r="J179" s="239">
        <f>SUM(FC!C179)</f>
        <v>0</v>
      </c>
      <c r="K179" s="239">
        <f>SUM(FN!D179)</f>
        <v>0</v>
      </c>
      <c r="L179" s="239">
        <f>SUM(FN!E179)</f>
        <v>0</v>
      </c>
      <c r="M179" s="239">
        <f>SUM(FN!F179)</f>
        <v>0</v>
      </c>
      <c r="N179" s="239">
        <f>SUM(FN!G179)</f>
        <v>0</v>
      </c>
      <c r="O179" s="239">
        <f>SUM(FS!C179)</f>
        <v>0</v>
      </c>
      <c r="P179" s="239">
        <f>SUM(HR!C179)</f>
        <v>0</v>
      </c>
      <c r="Q179" s="239">
        <f>SUM(HR!D179)</f>
        <v>0</v>
      </c>
      <c r="R179" s="239">
        <f>SUM(IT!C179)</f>
        <v>50000</v>
      </c>
      <c r="S179" s="238"/>
      <c r="T179" s="240">
        <f t="shared" si="47"/>
        <v>50000</v>
      </c>
      <c r="V179" s="107"/>
      <c r="W179" s="282">
        <f>+T179</f>
        <v>50000</v>
      </c>
    </row>
    <row r="180" spans="1:23" ht="12">
      <c r="A180" s="31" t="s">
        <v>98</v>
      </c>
      <c r="B180" s="31" t="s">
        <v>99</v>
      </c>
      <c r="C180" s="238"/>
      <c r="D180" s="239">
        <f>SUM('AC-SVC'!C180)</f>
        <v>0</v>
      </c>
      <c r="E180" s="239">
        <f>SUM('AC-SVC'!P180)</f>
        <v>0</v>
      </c>
      <c r="F180" s="239">
        <f>SUM(DID!C180)</f>
        <v>0</v>
      </c>
      <c r="G180" s="239">
        <f>SUM(DID!D180)</f>
        <v>0</v>
      </c>
      <c r="H180" s="239">
        <f>SUM(DID!E180)</f>
        <v>0</v>
      </c>
      <c r="I180" s="239">
        <f>SUM(DID!F180)</f>
        <v>0</v>
      </c>
      <c r="J180" s="239">
        <f>SUM(FC!C180)</f>
        <v>0</v>
      </c>
      <c r="K180" s="239">
        <f>SUM(FN!D180)</f>
        <v>0</v>
      </c>
      <c r="L180" s="239">
        <f>SUM(FN!E180)</f>
        <v>0</v>
      </c>
      <c r="M180" s="239">
        <f>SUM(FN!F180)</f>
        <v>0</v>
      </c>
      <c r="N180" s="239">
        <f>SUM(FN!G180)</f>
        <v>0</v>
      </c>
      <c r="O180" s="239">
        <f>SUM(FS!C180)</f>
        <v>0</v>
      </c>
      <c r="P180" s="239">
        <f>SUM(HR!C180)</f>
        <v>0</v>
      </c>
      <c r="Q180" s="239">
        <f>SUM(HR!D180)</f>
        <v>0</v>
      </c>
      <c r="R180" s="239">
        <f>SUM(IT!C180)</f>
        <v>0</v>
      </c>
      <c r="S180" s="238"/>
      <c r="T180" s="240">
        <f t="shared" si="47"/>
        <v>0</v>
      </c>
      <c r="V180" s="107"/>
      <c r="W180" s="282">
        <f>SUM(Sheet1!O180)</f>
        <v>0</v>
      </c>
    </row>
    <row r="181" spans="1:23" ht="12">
      <c r="A181" s="31" t="s">
        <v>100</v>
      </c>
      <c r="B181" s="31" t="s">
        <v>284</v>
      </c>
      <c r="C181" s="238"/>
      <c r="D181" s="239">
        <f>SUM('AC-SVC'!C181)</f>
        <v>0</v>
      </c>
      <c r="E181" s="239">
        <f>SUM('AC-SVC'!P181)</f>
        <v>0</v>
      </c>
      <c r="F181" s="239">
        <f>SUM(DID!C181)</f>
        <v>0</v>
      </c>
      <c r="G181" s="239">
        <f>SUM(DID!D181)</f>
        <v>0</v>
      </c>
      <c r="H181" s="239">
        <f>SUM(DID!E181)</f>
        <v>0</v>
      </c>
      <c r="I181" s="239">
        <f>SUM(DID!F181)</f>
        <v>0</v>
      </c>
      <c r="J181" s="239">
        <f>SUM(FC!C181)</f>
        <v>0</v>
      </c>
      <c r="K181" s="239">
        <f>SUM(FN!D181)</f>
        <v>0</v>
      </c>
      <c r="L181" s="239">
        <f>SUM(FN!E181)</f>
        <v>0</v>
      </c>
      <c r="M181" s="239">
        <f>SUM(FN!F181)</f>
        <v>0</v>
      </c>
      <c r="N181" s="239">
        <f>SUM(FN!G181)</f>
        <v>0</v>
      </c>
      <c r="O181" s="239">
        <f>SUM(FS!C181)</f>
        <v>0</v>
      </c>
      <c r="P181" s="239">
        <f>SUM(HR!C181)</f>
        <v>0</v>
      </c>
      <c r="Q181" s="239">
        <f>SUM(HR!D181)</f>
        <v>0</v>
      </c>
      <c r="R181" s="239">
        <f>SUM(IT!C181)</f>
        <v>0</v>
      </c>
      <c r="S181" s="238"/>
      <c r="T181" s="240">
        <f t="shared" si="47"/>
        <v>0</v>
      </c>
      <c r="V181" s="107"/>
      <c r="W181" s="282">
        <f>SUM(Sheet1!O181)</f>
        <v>0</v>
      </c>
    </row>
    <row r="182" spans="1:23" ht="12">
      <c r="A182" s="31" t="s">
        <v>101</v>
      </c>
      <c r="B182" s="31" t="s">
        <v>102</v>
      </c>
      <c r="C182" s="238"/>
      <c r="D182" s="239">
        <f>SUM('AC-SVC'!C182)</f>
        <v>0</v>
      </c>
      <c r="E182" s="239">
        <f>SUM('AC-SVC'!P182)</f>
        <v>0</v>
      </c>
      <c r="F182" s="239">
        <f>SUM(DID!C182)</f>
        <v>0</v>
      </c>
      <c r="G182" s="239">
        <f>SUM(DID!D182)</f>
        <v>0</v>
      </c>
      <c r="H182" s="239">
        <f>SUM(DID!E182)</f>
        <v>0</v>
      </c>
      <c r="I182" s="239">
        <f>SUM(DID!F182)</f>
        <v>0</v>
      </c>
      <c r="J182" s="239">
        <f>SUM(FC!C182)</f>
        <v>0</v>
      </c>
      <c r="K182" s="239">
        <f>SUM(FN!D182)</f>
        <v>0</v>
      </c>
      <c r="L182" s="239">
        <f>SUM(FN!E182)</f>
        <v>0</v>
      </c>
      <c r="M182" s="239">
        <f>SUM(FN!F182)</f>
        <v>0</v>
      </c>
      <c r="N182" s="239">
        <f>SUM(FN!G182)</f>
        <v>0</v>
      </c>
      <c r="O182" s="239">
        <f>SUM(FS!C182)</f>
        <v>0</v>
      </c>
      <c r="P182" s="239">
        <f>SUM(HR!C182)</f>
        <v>1000</v>
      </c>
      <c r="Q182" s="239">
        <f>SUM(HR!D182)</f>
        <v>1000</v>
      </c>
      <c r="R182" s="239">
        <f>SUM(IT!C182)</f>
        <v>0</v>
      </c>
      <c r="S182" s="238"/>
      <c r="T182" s="240">
        <f t="shared" si="47"/>
        <v>2000</v>
      </c>
      <c r="V182" s="107"/>
      <c r="W182" s="282">
        <f>+T182</f>
        <v>2000</v>
      </c>
    </row>
    <row r="183" spans="1:23" ht="12">
      <c r="A183" s="31" t="s">
        <v>105</v>
      </c>
      <c r="B183" s="31" t="s">
        <v>167</v>
      </c>
      <c r="C183" s="238"/>
      <c r="D183" s="239">
        <f>SUM('AC-SVC'!C183)</f>
        <v>0</v>
      </c>
      <c r="E183" s="239">
        <f>SUM('AC-SVC'!P183)</f>
        <v>0</v>
      </c>
      <c r="F183" s="239">
        <f>SUM(DID!C183)</f>
        <v>0</v>
      </c>
      <c r="G183" s="239">
        <f>SUM(DID!D183)</f>
        <v>0</v>
      </c>
      <c r="H183" s="239">
        <f>SUM(DID!E183)</f>
        <v>0</v>
      </c>
      <c r="I183" s="239">
        <f>SUM(DID!F183)</f>
        <v>0</v>
      </c>
      <c r="J183" s="239">
        <f>SUM(FC!C183)</f>
        <v>0</v>
      </c>
      <c r="K183" s="239">
        <f>SUM(FN!D183)</f>
        <v>0</v>
      </c>
      <c r="L183" s="239">
        <f>SUM(FN!E183)</f>
        <v>0</v>
      </c>
      <c r="M183" s="239">
        <f>SUM(FN!F183)</f>
        <v>0</v>
      </c>
      <c r="N183" s="239">
        <f>SUM(FN!G183)</f>
        <v>0</v>
      </c>
      <c r="O183" s="239">
        <f>SUM(FS!C183)</f>
        <v>0</v>
      </c>
      <c r="P183" s="239">
        <f>SUM(HR!C183)</f>
        <v>0</v>
      </c>
      <c r="Q183" s="239">
        <f>SUM(HR!D183)</f>
        <v>0</v>
      </c>
      <c r="R183" s="239">
        <f>SUM(IT!C183)</f>
        <v>0</v>
      </c>
      <c r="S183" s="238"/>
      <c r="T183" s="240">
        <f t="shared" si="47"/>
        <v>0</v>
      </c>
      <c r="V183" s="107"/>
      <c r="W183" s="282">
        <f>SUM(Sheet1!O183)</f>
        <v>0</v>
      </c>
    </row>
    <row r="184" spans="1:23" ht="12">
      <c r="A184" s="31" t="s">
        <v>106</v>
      </c>
      <c r="B184" s="31" t="s">
        <v>107</v>
      </c>
      <c r="C184" s="246">
        <f>(C68*0.05)</f>
        <v>92700.037500000006</v>
      </c>
      <c r="D184" s="246">
        <f t="shared" ref="D184:R184" si="48">(D68*0.05)</f>
        <v>0</v>
      </c>
      <c r="E184" s="246">
        <f t="shared" si="48"/>
        <v>0</v>
      </c>
      <c r="F184" s="246">
        <f t="shared" si="48"/>
        <v>7800</v>
      </c>
      <c r="G184" s="246">
        <f t="shared" si="48"/>
        <v>5000</v>
      </c>
      <c r="H184" s="246">
        <f t="shared" si="48"/>
        <v>675</v>
      </c>
      <c r="I184" s="246">
        <f t="shared" si="48"/>
        <v>3000</v>
      </c>
      <c r="J184" s="246">
        <f t="shared" si="48"/>
        <v>0</v>
      </c>
      <c r="K184" s="246">
        <f t="shared" si="48"/>
        <v>270</v>
      </c>
      <c r="L184" s="246">
        <f t="shared" si="48"/>
        <v>0</v>
      </c>
      <c r="M184" s="246">
        <f t="shared" si="48"/>
        <v>0</v>
      </c>
      <c r="N184" s="246">
        <f t="shared" si="48"/>
        <v>0</v>
      </c>
      <c r="O184" s="246">
        <f t="shared" si="48"/>
        <v>0</v>
      </c>
      <c r="P184" s="246">
        <f t="shared" si="48"/>
        <v>0</v>
      </c>
      <c r="Q184" s="246">
        <f t="shared" si="48"/>
        <v>0</v>
      </c>
      <c r="R184" s="246">
        <f t="shared" si="48"/>
        <v>575.65</v>
      </c>
      <c r="S184" s="238"/>
      <c r="T184" s="240">
        <f t="shared" si="47"/>
        <v>110020.6875</v>
      </c>
      <c r="V184" s="107">
        <v>9456.1200000000008</v>
      </c>
      <c r="W184" s="282">
        <f>SUM(Sheet1!O184)</f>
        <v>11195.68924528302</v>
      </c>
    </row>
    <row r="185" spans="1:23" ht="12">
      <c r="A185" s="31" t="s">
        <v>428</v>
      </c>
      <c r="B185" s="31" t="s">
        <v>429</v>
      </c>
      <c r="C185" s="247">
        <f>200*12</f>
        <v>2400</v>
      </c>
      <c r="D185" s="241">
        <f>SUM('AC-SVC'!C185)</f>
        <v>0</v>
      </c>
      <c r="E185" s="241">
        <f>SUM('AC-SVC'!P185)</f>
        <v>0</v>
      </c>
      <c r="F185" s="241">
        <f>SUM(DID!C185)</f>
        <v>0</v>
      </c>
      <c r="G185" s="241">
        <f>SUM(DID!D185)</f>
        <v>0</v>
      </c>
      <c r="H185" s="241">
        <f>SUM(DID!E185)</f>
        <v>0</v>
      </c>
      <c r="I185" s="241">
        <f>SUM(DID!F185)</f>
        <v>0</v>
      </c>
      <c r="J185" s="241">
        <f>SUM(FC!C185)</f>
        <v>1000</v>
      </c>
      <c r="K185" s="241">
        <f>SUM(FN!D185)</f>
        <v>0</v>
      </c>
      <c r="L185" s="241">
        <f>SUM(FN!E185)</f>
        <v>0</v>
      </c>
      <c r="M185" s="241">
        <f>SUM(FN!F185)</f>
        <v>0</v>
      </c>
      <c r="N185" s="241">
        <f>SUM(FN!G185)</f>
        <v>0</v>
      </c>
      <c r="O185" s="241">
        <f>SUM(FS!C185)</f>
        <v>750</v>
      </c>
      <c r="P185" s="241">
        <f>SUM(HR!C185)</f>
        <v>0</v>
      </c>
      <c r="Q185" s="241">
        <f>SUM(HR!D185)</f>
        <v>750</v>
      </c>
      <c r="R185" s="241">
        <f>SUM(IT!C185)</f>
        <v>0</v>
      </c>
      <c r="S185" s="238"/>
      <c r="T185" s="242">
        <f t="shared" si="47"/>
        <v>4900</v>
      </c>
      <c r="V185" s="108"/>
      <c r="W185" s="283">
        <f>SUM(Sheet1!O185)</f>
        <v>0</v>
      </c>
    </row>
    <row r="186" spans="1:23" ht="10">
      <c r="B186" s="31" t="s">
        <v>168</v>
      </c>
      <c r="C186" s="238">
        <f>SUM(C175:C185)</f>
        <v>136100.03750000001</v>
      </c>
      <c r="D186" s="238">
        <f>SUM(D175:D185)</f>
        <v>0</v>
      </c>
      <c r="E186" s="238">
        <f>SUM(E175:E185)</f>
        <v>200</v>
      </c>
      <c r="F186" s="238">
        <f t="shared" ref="F186:R186" si="49">SUM(F175:F185)</f>
        <v>8550</v>
      </c>
      <c r="G186" s="238">
        <f t="shared" si="49"/>
        <v>5500</v>
      </c>
      <c r="H186" s="238">
        <f t="shared" si="49"/>
        <v>1175</v>
      </c>
      <c r="I186" s="238">
        <f t="shared" ref="I186" si="50">SUM(I175:I185)</f>
        <v>3500</v>
      </c>
      <c r="J186" s="238">
        <f t="shared" si="49"/>
        <v>1000</v>
      </c>
      <c r="K186" s="238">
        <f t="shared" si="49"/>
        <v>270</v>
      </c>
      <c r="L186" s="238">
        <f t="shared" si="49"/>
        <v>12300</v>
      </c>
      <c r="M186" s="238">
        <f t="shared" si="49"/>
        <v>0</v>
      </c>
      <c r="N186" s="238">
        <f t="shared" si="49"/>
        <v>0</v>
      </c>
      <c r="O186" s="238">
        <f t="shared" si="49"/>
        <v>870</v>
      </c>
      <c r="P186" s="238">
        <f>SUM(P175:P185)</f>
        <v>1000</v>
      </c>
      <c r="Q186" s="238">
        <f t="shared" si="49"/>
        <v>2250</v>
      </c>
      <c r="R186" s="238">
        <f t="shared" si="49"/>
        <v>50575.65</v>
      </c>
      <c r="S186" s="238"/>
      <c r="T186" s="244">
        <f>SUM(T175:T185)</f>
        <v>223290.6875</v>
      </c>
      <c r="V186" s="106">
        <v>106814.95999999999</v>
      </c>
      <c r="W186" s="278">
        <f>SUM(W175:W185)</f>
        <v>178464.88188679246</v>
      </c>
    </row>
    <row r="187" spans="1:23" ht="12"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44"/>
      <c r="V187" s="106"/>
      <c r="W187" s="281"/>
    </row>
    <row r="188" spans="1:23" s="245" customFormat="1" ht="12">
      <c r="A188" s="35"/>
      <c r="B188" s="35" t="s">
        <v>169</v>
      </c>
      <c r="C188" s="243">
        <f>SUM(C122+C133+C141+C150+C155+C171+C186)</f>
        <v>294011.28749999998</v>
      </c>
      <c r="D188" s="243">
        <f>SUM(D122+D133+D141+D150+D155+D171+D186)</f>
        <v>7500</v>
      </c>
      <c r="E188" s="243">
        <f>+E122+E133+E141+E150+E155+E171+E186</f>
        <v>21560</v>
      </c>
      <c r="F188" s="243">
        <f t="shared" ref="F188:R188" si="51">SUM(F122+F133+F141+F150+F155+F171+F186)</f>
        <v>15570</v>
      </c>
      <c r="G188" s="243">
        <f t="shared" si="51"/>
        <v>18920</v>
      </c>
      <c r="H188" s="243">
        <f t="shared" si="51"/>
        <v>92264</v>
      </c>
      <c r="I188" s="243">
        <f t="shared" ref="I188:J188" si="52">SUM(I122+I133+I141+I150+I155+I171+I186)</f>
        <v>8020</v>
      </c>
      <c r="J188" s="243">
        <f t="shared" si="52"/>
        <v>46536.25</v>
      </c>
      <c r="K188" s="243">
        <f t="shared" si="51"/>
        <v>85030</v>
      </c>
      <c r="L188" s="243">
        <f t="shared" si="51"/>
        <v>25762</v>
      </c>
      <c r="M188" s="243">
        <f t="shared" si="51"/>
        <v>3760</v>
      </c>
      <c r="N188" s="243">
        <f t="shared" si="51"/>
        <v>2550</v>
      </c>
      <c r="O188" s="243">
        <f t="shared" si="51"/>
        <v>16533.599999999999</v>
      </c>
      <c r="P188" s="243">
        <f>SUM(P122+P133+P141+P150+P155+P171+P186)</f>
        <v>21760</v>
      </c>
      <c r="Q188" s="243">
        <f t="shared" si="51"/>
        <v>37485</v>
      </c>
      <c r="R188" s="243">
        <f t="shared" si="51"/>
        <v>207616.65</v>
      </c>
      <c r="S188" s="243"/>
      <c r="T188" s="243">
        <f>SUM(T122+T133+T141+T150+T155+T171+T186)</f>
        <v>904878.78749999998</v>
      </c>
      <c r="V188" s="106">
        <v>580435.93999999994</v>
      </c>
      <c r="W188" s="280">
        <f>SUM(W122+W133+W141+W150+W155+W171+W186)</f>
        <v>739214.2497169812</v>
      </c>
    </row>
    <row r="189" spans="1:23" ht="12">
      <c r="C189" s="238"/>
      <c r="D189" s="238"/>
      <c r="E189" s="238"/>
      <c r="F189" s="238"/>
      <c r="G189" s="238"/>
      <c r="H189" s="238"/>
      <c r="I189" s="238"/>
      <c r="J189" s="238"/>
      <c r="K189" s="243"/>
      <c r="L189" s="243"/>
      <c r="M189" s="243"/>
      <c r="N189" s="243"/>
      <c r="O189" s="238"/>
      <c r="P189" s="243"/>
      <c r="Q189" s="238"/>
      <c r="R189" s="238"/>
      <c r="S189" s="238"/>
      <c r="T189" s="244"/>
      <c r="V189" s="106"/>
      <c r="W189" s="281"/>
    </row>
    <row r="190" spans="1:23" ht="12">
      <c r="B190" s="35" t="s">
        <v>435</v>
      </c>
      <c r="C190" s="243">
        <f>SUM(C104+C188)</f>
        <v>517296.30737367319</v>
      </c>
      <c r="D190" s="243">
        <f>SUM(D104+D188)</f>
        <v>93391.94306225024</v>
      </c>
      <c r="E190" s="243">
        <f>SUM(E104+E188)</f>
        <v>90095.453476177136</v>
      </c>
      <c r="F190" s="243">
        <f t="shared" ref="F190:R190" si="53">SUM(F104+F188)</f>
        <v>92352.601200000005</v>
      </c>
      <c r="G190" s="243">
        <f t="shared" si="53"/>
        <v>75909.933199999999</v>
      </c>
      <c r="H190" s="243">
        <f t="shared" si="53"/>
        <v>147140.18660000002</v>
      </c>
      <c r="I190" s="243">
        <f t="shared" ref="I190:J190" si="54">SUM(I104+I188)</f>
        <v>60182.453200000004</v>
      </c>
      <c r="J190" s="243">
        <f t="shared" si="54"/>
        <v>124070.20737654447</v>
      </c>
      <c r="K190" s="243">
        <f t="shared" si="53"/>
        <v>163902.96807466669</v>
      </c>
      <c r="L190" s="243">
        <f t="shared" si="53"/>
        <v>90009.876970000012</v>
      </c>
      <c r="M190" s="243">
        <f t="shared" si="53"/>
        <v>58637.210342035796</v>
      </c>
      <c r="N190" s="243">
        <f t="shared" si="53"/>
        <v>78108.127788800004</v>
      </c>
      <c r="O190" s="243">
        <f t="shared" si="53"/>
        <v>89401.826099830971</v>
      </c>
      <c r="P190" s="243">
        <f>SUM(P104+P188)</f>
        <v>115260.36116358842</v>
      </c>
      <c r="Q190" s="243">
        <f t="shared" si="53"/>
        <v>171205.6578175755</v>
      </c>
      <c r="R190" s="243">
        <f t="shared" si="53"/>
        <v>272939.73320000002</v>
      </c>
      <c r="S190" s="238"/>
      <c r="T190" s="243">
        <f>SUM(T104+T188)</f>
        <v>2239904.8469451424</v>
      </c>
      <c r="V190" s="106">
        <v>1584867.9500000002</v>
      </c>
      <c r="W190" s="280">
        <f>SUM(W104+W188)</f>
        <v>1979315.4278189018</v>
      </c>
    </row>
    <row r="191" spans="1:23" ht="12"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43"/>
      <c r="V191" s="106"/>
      <c r="W191" s="281"/>
    </row>
    <row r="192" spans="1:23" s="245" customFormat="1" ht="12">
      <c r="A192" s="35"/>
      <c r="B192" s="35" t="s">
        <v>170</v>
      </c>
      <c r="C192" s="243">
        <f>+C68-C104-C188</f>
        <v>1336704.4426263268</v>
      </c>
      <c r="D192" s="243">
        <f>+D68-D104-D188</f>
        <v>-93391.94306225024</v>
      </c>
      <c r="E192" s="243">
        <f t="shared" ref="E192" si="55">SUM(E68-E104-E188)</f>
        <v>-90095.453476177136</v>
      </c>
      <c r="F192" s="243">
        <f t="shared" ref="F192:R192" si="56">+F68-F104-F188</f>
        <v>63647.398799999995</v>
      </c>
      <c r="G192" s="243">
        <f t="shared" si="56"/>
        <v>24090.066800000001</v>
      </c>
      <c r="H192" s="243">
        <f t="shared" si="56"/>
        <v>-133640.18660000002</v>
      </c>
      <c r="I192" s="243">
        <f t="shared" ref="I192:J192" si="57">+I68-I104-I188</f>
        <v>-182.45320000000356</v>
      </c>
      <c r="J192" s="243">
        <f t="shared" si="57"/>
        <v>-124070.20737654447</v>
      </c>
      <c r="K192" s="243">
        <f t="shared" si="56"/>
        <v>-158502.96807466669</v>
      </c>
      <c r="L192" s="243">
        <f t="shared" si="56"/>
        <v>-90009.876970000012</v>
      </c>
      <c r="M192" s="243">
        <f t="shared" si="56"/>
        <v>-58637.210342035796</v>
      </c>
      <c r="N192" s="243">
        <f t="shared" si="56"/>
        <v>-78108.127788800004</v>
      </c>
      <c r="O192" s="243">
        <f t="shared" si="56"/>
        <v>-89401.826099830971</v>
      </c>
      <c r="P192" s="243">
        <f>+P68-P104-P188</f>
        <v>-115260.36116358842</v>
      </c>
      <c r="Q192" s="243">
        <f t="shared" si="56"/>
        <v>-171205.6578175755</v>
      </c>
      <c r="R192" s="243">
        <f t="shared" si="56"/>
        <v>-261426.73319999999</v>
      </c>
      <c r="S192" s="243"/>
      <c r="T192" s="243">
        <f>+T68-T104-T188</f>
        <v>-39491.09694514249</v>
      </c>
      <c r="V192" s="106">
        <v>42482.380000000005</v>
      </c>
      <c r="W192" s="280">
        <f>SUM(W68-W190)</f>
        <v>-52594.046545317164</v>
      </c>
    </row>
    <row r="193" spans="1:20">
      <c r="K193" s="238"/>
      <c r="L193" s="238"/>
      <c r="M193" s="238"/>
      <c r="N193" s="238"/>
      <c r="P193" s="238"/>
      <c r="T193" s="244"/>
    </row>
    <row r="194" spans="1:20">
      <c r="A194" s="78"/>
      <c r="K194" s="243"/>
      <c r="L194" s="243"/>
      <c r="M194" s="243"/>
      <c r="N194" s="243"/>
      <c r="P194" s="243"/>
      <c r="T194" s="244"/>
    </row>
    <row r="195" spans="1:20">
      <c r="A195" s="78"/>
    </row>
    <row r="196" spans="1:20">
      <c r="B196" s="26"/>
    </row>
  </sheetData>
  <pageMargins left="0.26" right="0.17" top="0.78" bottom="0.46" header="0.17" footer="0.17"/>
  <pageSetup scale="57" fitToHeight="0" orientation="landscape"/>
  <headerFooter alignWithMargins="0">
    <oddHeader>&amp;C&amp;"MS Sans Serif,Bold"&amp;18INTERNATIONAL SCHOOL of LOUISIANA
CMO BUDGET '13-2014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/>
  <dimension ref="A2:Q196"/>
  <sheetViews>
    <sheetView workbookViewId="0">
      <pane xSplit="2" ySplit="10" topLeftCell="C11" activePane="bottomRight" state="frozen"/>
      <selection activeCell="A116" sqref="A116:XFD116"/>
      <selection pane="topRight" activeCell="A116" sqref="A116:XFD116"/>
      <selection pane="bottomLeft" activeCell="A116" sqref="A116:XFD116"/>
      <selection pane="bottomRight" activeCell="O171" sqref="O171"/>
    </sheetView>
  </sheetViews>
  <sheetFormatPr baseColWidth="10" defaultColWidth="11.42578125" defaultRowHeight="10" x14ac:dyDescent="0"/>
  <cols>
    <col min="1" max="1" width="15" style="31" customWidth="1"/>
    <col min="2" max="2" width="26.85546875" style="31" customWidth="1"/>
    <col min="3" max="3" width="11.42578125" style="199"/>
    <col min="4" max="6" width="11.42578125" style="191"/>
    <col min="7" max="9" width="11.42578125" style="204"/>
    <col min="10" max="12" width="11.42578125" style="179"/>
    <col min="13" max="15" width="11.42578125" style="185"/>
    <col min="16" max="16" width="11.42578125" style="211"/>
    <col min="17" max="16384" width="11.42578125" style="1"/>
  </cols>
  <sheetData>
    <row r="2" spans="1:16">
      <c r="B2" s="30" t="s">
        <v>614</v>
      </c>
      <c r="D2" s="191" t="s">
        <v>267</v>
      </c>
      <c r="E2" s="191" t="s">
        <v>267</v>
      </c>
      <c r="F2" s="191" t="s">
        <v>267</v>
      </c>
    </row>
    <row r="3" spans="1:16">
      <c r="B3" s="174" t="s">
        <v>584</v>
      </c>
    </row>
    <row r="4" spans="1:16">
      <c r="A4" s="31" t="s">
        <v>433</v>
      </c>
      <c r="B4" s="32">
        <v>490</v>
      </c>
    </row>
    <row r="5" spans="1:16">
      <c r="A5" s="31" t="s">
        <v>586</v>
      </c>
      <c r="B5" s="32">
        <v>150</v>
      </c>
    </row>
    <row r="6" spans="1:16">
      <c r="A6" s="31" t="s">
        <v>434</v>
      </c>
      <c r="B6" s="32">
        <v>215</v>
      </c>
    </row>
    <row r="7" spans="1:16" s="8" customFormat="1">
      <c r="A7" s="28" t="s">
        <v>587</v>
      </c>
      <c r="B7" s="32">
        <v>400</v>
      </c>
      <c r="C7" s="200">
        <v>1</v>
      </c>
      <c r="D7" s="192">
        <v>1</v>
      </c>
      <c r="E7" s="192">
        <v>0.5</v>
      </c>
      <c r="F7" s="192">
        <v>1</v>
      </c>
      <c r="G7" s="205">
        <v>0.45</v>
      </c>
      <c r="H7" s="205">
        <v>0.2</v>
      </c>
      <c r="I7" s="205">
        <v>0.35</v>
      </c>
      <c r="J7" s="209">
        <v>1</v>
      </c>
      <c r="K7" s="209"/>
      <c r="L7" s="209">
        <v>1</v>
      </c>
      <c r="M7" s="210">
        <v>0.9</v>
      </c>
      <c r="N7" s="210">
        <v>0.5</v>
      </c>
      <c r="O7" s="210">
        <v>0.1</v>
      </c>
      <c r="P7" s="212">
        <v>1</v>
      </c>
    </row>
    <row r="8" spans="1:16">
      <c r="B8" s="175">
        <f>SUM(B4:B7)</f>
        <v>1255</v>
      </c>
      <c r="C8" s="201" t="s">
        <v>500</v>
      </c>
      <c r="D8" s="193" t="s">
        <v>605</v>
      </c>
      <c r="E8" s="193" t="s">
        <v>606</v>
      </c>
      <c r="F8" s="193" t="s">
        <v>604</v>
      </c>
      <c r="G8" s="206" t="s">
        <v>605</v>
      </c>
      <c r="H8" s="206" t="s">
        <v>606</v>
      </c>
      <c r="I8" s="206" t="s">
        <v>604</v>
      </c>
      <c r="J8" s="180" t="s">
        <v>605</v>
      </c>
      <c r="K8" s="180" t="s">
        <v>606</v>
      </c>
      <c r="L8" s="180" t="s">
        <v>604</v>
      </c>
      <c r="M8" s="186" t="s">
        <v>605</v>
      </c>
      <c r="N8" s="186" t="s">
        <v>606</v>
      </c>
      <c r="O8" s="186" t="s">
        <v>604</v>
      </c>
      <c r="P8" s="213" t="s">
        <v>500</v>
      </c>
    </row>
    <row r="9" spans="1:16">
      <c r="C9" s="201" t="s">
        <v>180</v>
      </c>
      <c r="D9" s="193" t="s">
        <v>408</v>
      </c>
      <c r="E9" s="193" t="s">
        <v>408</v>
      </c>
      <c r="F9" s="193" t="s">
        <v>408</v>
      </c>
      <c r="G9" s="206" t="s">
        <v>181</v>
      </c>
      <c r="H9" s="206" t="s">
        <v>181</v>
      </c>
      <c r="I9" s="206" t="s">
        <v>181</v>
      </c>
      <c r="J9" s="180" t="s">
        <v>182</v>
      </c>
      <c r="K9" s="180" t="s">
        <v>182</v>
      </c>
      <c r="L9" s="180" t="s">
        <v>182</v>
      </c>
      <c r="M9" s="186" t="s">
        <v>183</v>
      </c>
      <c r="N9" s="186" t="s">
        <v>183</v>
      </c>
      <c r="O9" s="186" t="s">
        <v>183</v>
      </c>
      <c r="P9" s="213" t="s">
        <v>446</v>
      </c>
    </row>
    <row r="10" spans="1:16" s="7" customFormat="1" ht="11" thickBot="1">
      <c r="A10" s="33"/>
      <c r="B10" s="33" t="s">
        <v>174</v>
      </c>
      <c r="C10" s="202" t="s">
        <v>392</v>
      </c>
      <c r="D10" s="194" t="s">
        <v>409</v>
      </c>
      <c r="E10" s="194" t="s">
        <v>409</v>
      </c>
      <c r="F10" s="194" t="s">
        <v>409</v>
      </c>
      <c r="G10" s="207">
        <v>2122</v>
      </c>
      <c r="H10" s="207">
        <v>2122</v>
      </c>
      <c r="I10" s="207">
        <v>2122</v>
      </c>
      <c r="J10" s="181">
        <v>2134</v>
      </c>
      <c r="K10" s="181">
        <v>2134</v>
      </c>
      <c r="L10" s="181">
        <v>2134</v>
      </c>
      <c r="M10" s="187">
        <v>2252</v>
      </c>
      <c r="N10" s="187">
        <v>2252</v>
      </c>
      <c r="O10" s="187">
        <v>2252</v>
      </c>
      <c r="P10" s="214"/>
    </row>
    <row r="11" spans="1:16">
      <c r="A11" s="31" t="s">
        <v>268</v>
      </c>
    </row>
    <row r="12" spans="1:16">
      <c r="A12" s="31" t="s">
        <v>269</v>
      </c>
    </row>
    <row r="13" spans="1:16">
      <c r="A13" s="31" t="s">
        <v>171</v>
      </c>
      <c r="B13" s="31" t="s">
        <v>270</v>
      </c>
      <c r="C13" s="198"/>
      <c r="D13" s="195"/>
      <c r="E13" s="195"/>
      <c r="F13" s="195"/>
      <c r="G13" s="208"/>
      <c r="H13" s="208"/>
      <c r="I13" s="208"/>
      <c r="J13" s="182"/>
      <c r="K13" s="182"/>
      <c r="L13" s="182"/>
      <c r="M13" s="188"/>
      <c r="N13" s="188"/>
      <c r="O13" s="188"/>
      <c r="P13" s="215"/>
    </row>
    <row r="14" spans="1:16">
      <c r="A14" s="31" t="s">
        <v>172</v>
      </c>
      <c r="B14" s="31" t="s">
        <v>271</v>
      </c>
      <c r="C14" s="198"/>
      <c r="D14" s="195"/>
      <c r="E14" s="195"/>
      <c r="F14" s="195"/>
      <c r="G14" s="208"/>
      <c r="H14" s="208"/>
      <c r="I14" s="208"/>
      <c r="J14" s="182"/>
      <c r="K14" s="182"/>
      <c r="L14" s="182"/>
      <c r="M14" s="188"/>
      <c r="N14" s="188"/>
      <c r="O14" s="188"/>
      <c r="P14" s="215"/>
    </row>
    <row r="15" spans="1:16">
      <c r="A15" s="31" t="s">
        <v>173</v>
      </c>
      <c r="B15" s="31" t="s">
        <v>272</v>
      </c>
      <c r="C15" s="198"/>
      <c r="D15" s="195"/>
      <c r="E15" s="195"/>
      <c r="F15" s="195"/>
      <c r="G15" s="208"/>
      <c r="H15" s="208"/>
      <c r="I15" s="208"/>
      <c r="J15" s="182"/>
      <c r="K15" s="182"/>
      <c r="L15" s="182"/>
      <c r="M15" s="188"/>
      <c r="N15" s="188"/>
      <c r="O15" s="188"/>
      <c r="P15" s="215"/>
    </row>
    <row r="16" spans="1:16">
      <c r="A16" s="31" t="s">
        <v>193</v>
      </c>
      <c r="B16" s="31" t="s">
        <v>273</v>
      </c>
      <c r="C16" s="198"/>
      <c r="D16" s="195"/>
      <c r="E16" s="195"/>
      <c r="F16" s="195"/>
      <c r="G16" s="208"/>
      <c r="H16" s="208"/>
      <c r="I16" s="208"/>
      <c r="J16" s="182"/>
      <c r="K16" s="182"/>
      <c r="L16" s="182"/>
      <c r="M16" s="188"/>
      <c r="N16" s="188"/>
      <c r="O16" s="188"/>
      <c r="P16" s="215"/>
    </row>
    <row r="17" spans="1:16">
      <c r="A17" s="31" t="s">
        <v>194</v>
      </c>
      <c r="B17" s="31" t="s">
        <v>274</v>
      </c>
      <c r="C17" s="198"/>
      <c r="D17" s="195"/>
      <c r="E17" s="195"/>
      <c r="F17" s="195"/>
      <c r="G17" s="208"/>
      <c r="H17" s="208"/>
      <c r="I17" s="208"/>
      <c r="J17" s="182"/>
      <c r="K17" s="182"/>
      <c r="L17" s="182"/>
      <c r="M17" s="188"/>
      <c r="N17" s="188"/>
      <c r="O17" s="188"/>
      <c r="P17" s="215"/>
    </row>
    <row r="18" spans="1:16">
      <c r="A18" s="31" t="s">
        <v>195</v>
      </c>
      <c r="B18" s="31" t="s">
        <v>275</v>
      </c>
      <c r="C18" s="198"/>
      <c r="D18" s="195"/>
      <c r="E18" s="195"/>
      <c r="F18" s="195"/>
      <c r="G18" s="208"/>
      <c r="H18" s="208"/>
      <c r="I18" s="208"/>
      <c r="J18" s="182"/>
      <c r="K18" s="182"/>
      <c r="L18" s="182"/>
      <c r="M18" s="188"/>
      <c r="N18" s="188"/>
      <c r="O18" s="188"/>
      <c r="P18" s="215"/>
    </row>
    <row r="19" spans="1:16">
      <c r="A19" s="31" t="s">
        <v>196</v>
      </c>
      <c r="B19" s="31" t="s">
        <v>276</v>
      </c>
      <c r="C19" s="198"/>
      <c r="D19" s="195"/>
      <c r="E19" s="195"/>
      <c r="F19" s="195"/>
      <c r="G19" s="208"/>
      <c r="H19" s="208"/>
      <c r="I19" s="208"/>
      <c r="J19" s="182"/>
      <c r="K19" s="182"/>
      <c r="L19" s="182"/>
      <c r="M19" s="188"/>
      <c r="N19" s="188"/>
      <c r="O19" s="188"/>
      <c r="P19" s="215"/>
    </row>
    <row r="20" spans="1:16">
      <c r="A20" s="31" t="s">
        <v>197</v>
      </c>
      <c r="B20" s="31" t="s">
        <v>277</v>
      </c>
      <c r="C20" s="198"/>
      <c r="D20" s="195"/>
      <c r="E20" s="195"/>
      <c r="F20" s="195"/>
      <c r="G20" s="208"/>
      <c r="H20" s="208"/>
      <c r="I20" s="208"/>
      <c r="J20" s="182"/>
      <c r="K20" s="182"/>
      <c r="L20" s="182"/>
      <c r="M20" s="188"/>
      <c r="N20" s="188"/>
      <c r="O20" s="188"/>
      <c r="P20" s="215"/>
    </row>
    <row r="21" spans="1:16">
      <c r="A21" s="31" t="s">
        <v>198</v>
      </c>
      <c r="B21" s="31" t="s">
        <v>278</v>
      </c>
      <c r="C21" s="198"/>
      <c r="D21" s="195"/>
      <c r="E21" s="195"/>
      <c r="F21" s="195"/>
      <c r="G21" s="208"/>
      <c r="H21" s="208"/>
      <c r="I21" s="208"/>
      <c r="J21" s="182"/>
      <c r="K21" s="182"/>
      <c r="L21" s="182"/>
      <c r="M21" s="188"/>
      <c r="N21" s="188"/>
      <c r="O21" s="188"/>
      <c r="P21" s="215"/>
    </row>
    <row r="22" spans="1:16">
      <c r="A22" s="31" t="s">
        <v>199</v>
      </c>
      <c r="B22" s="31" t="s">
        <v>279</v>
      </c>
      <c r="C22" s="198"/>
      <c r="D22" s="195"/>
      <c r="E22" s="195"/>
      <c r="F22" s="195"/>
      <c r="G22" s="208"/>
      <c r="H22" s="208"/>
      <c r="I22" s="208"/>
      <c r="J22" s="182"/>
      <c r="K22" s="182"/>
      <c r="L22" s="182"/>
      <c r="M22" s="188"/>
      <c r="N22" s="188"/>
      <c r="O22" s="188"/>
      <c r="P22" s="215"/>
    </row>
    <row r="23" spans="1:16">
      <c r="A23" s="31" t="s">
        <v>200</v>
      </c>
      <c r="B23" s="31" t="s">
        <v>280</v>
      </c>
      <c r="C23" s="198"/>
      <c r="D23" s="195"/>
      <c r="E23" s="195"/>
      <c r="F23" s="195"/>
      <c r="G23" s="208"/>
      <c r="H23" s="208"/>
      <c r="I23" s="208"/>
      <c r="J23" s="182"/>
      <c r="K23" s="182"/>
      <c r="L23" s="182"/>
      <c r="M23" s="188">
        <v>500</v>
      </c>
      <c r="N23" s="188">
        <v>500</v>
      </c>
      <c r="O23" s="188">
        <v>500</v>
      </c>
      <c r="P23" s="215"/>
    </row>
    <row r="24" spans="1:16">
      <c r="A24" s="31" t="s">
        <v>201</v>
      </c>
      <c r="B24" s="31" t="s">
        <v>281</v>
      </c>
      <c r="C24" s="198"/>
      <c r="D24" s="195"/>
      <c r="E24" s="195"/>
      <c r="F24" s="195"/>
      <c r="G24" s="208"/>
      <c r="H24" s="208"/>
      <c r="I24" s="208"/>
      <c r="J24" s="182"/>
      <c r="K24" s="182"/>
      <c r="L24" s="182"/>
      <c r="M24" s="188"/>
      <c r="N24" s="188"/>
      <c r="O24" s="188"/>
      <c r="P24" s="215"/>
    </row>
    <row r="25" spans="1:16">
      <c r="A25" s="31" t="s">
        <v>202</v>
      </c>
      <c r="B25" s="31" t="s">
        <v>282</v>
      </c>
      <c r="C25" s="198"/>
      <c r="D25" s="195"/>
      <c r="E25" s="195"/>
      <c r="F25" s="195"/>
      <c r="G25" s="208"/>
      <c r="H25" s="208"/>
      <c r="I25" s="208"/>
      <c r="J25" s="182"/>
      <c r="K25" s="182"/>
      <c r="L25" s="182"/>
      <c r="M25" s="188"/>
      <c r="N25" s="188"/>
      <c r="O25" s="188"/>
      <c r="P25" s="215"/>
    </row>
    <row r="26" spans="1:16">
      <c r="A26" s="31" t="s">
        <v>203</v>
      </c>
      <c r="B26" s="31" t="s">
        <v>283</v>
      </c>
      <c r="C26" s="198"/>
      <c r="D26" s="195"/>
      <c r="E26" s="195"/>
      <c r="F26" s="195"/>
      <c r="G26" s="208"/>
      <c r="H26" s="208"/>
      <c r="I26" s="208"/>
      <c r="J26" s="182"/>
      <c r="K26" s="182"/>
      <c r="L26" s="182"/>
      <c r="M26" s="188"/>
      <c r="N26" s="188"/>
      <c r="O26" s="188"/>
      <c r="P26" s="215"/>
    </row>
    <row r="27" spans="1:16">
      <c r="A27" s="31" t="s">
        <v>204</v>
      </c>
      <c r="B27" s="31" t="s">
        <v>284</v>
      </c>
      <c r="C27" s="198"/>
      <c r="D27" s="195"/>
      <c r="E27" s="195"/>
      <c r="F27" s="195"/>
      <c r="G27" s="208"/>
      <c r="H27" s="208"/>
      <c r="I27" s="208"/>
      <c r="J27" s="182"/>
      <c r="K27" s="182"/>
      <c r="L27" s="182"/>
      <c r="M27" s="188"/>
      <c r="N27" s="188"/>
      <c r="O27" s="188"/>
      <c r="P27" s="215"/>
    </row>
    <row r="28" spans="1:16">
      <c r="A28" s="31" t="s">
        <v>205</v>
      </c>
      <c r="B28" s="31" t="s">
        <v>285</v>
      </c>
      <c r="C28" s="198"/>
      <c r="D28" s="195"/>
      <c r="E28" s="195"/>
      <c r="F28" s="195"/>
      <c r="G28" s="208"/>
      <c r="H28" s="208"/>
      <c r="I28" s="208"/>
      <c r="J28" s="182"/>
      <c r="K28" s="182"/>
      <c r="L28" s="182"/>
      <c r="M28" s="188"/>
      <c r="N28" s="188"/>
      <c r="O28" s="188"/>
      <c r="P28" s="215"/>
    </row>
    <row r="29" spans="1:16">
      <c r="A29" s="31" t="s">
        <v>206</v>
      </c>
      <c r="B29" s="31" t="s">
        <v>286</v>
      </c>
      <c r="C29" s="198"/>
      <c r="D29" s="195"/>
      <c r="E29" s="195"/>
      <c r="F29" s="195"/>
      <c r="G29" s="208"/>
      <c r="H29" s="208"/>
      <c r="I29" s="208"/>
      <c r="J29" s="182"/>
      <c r="K29" s="182"/>
      <c r="L29" s="182"/>
      <c r="M29" s="188">
        <v>300</v>
      </c>
      <c r="N29" s="188">
        <v>300</v>
      </c>
      <c r="O29" s="188">
        <v>300</v>
      </c>
      <c r="P29" s="215"/>
    </row>
    <row r="30" spans="1:16">
      <c r="A30" s="31" t="s">
        <v>208</v>
      </c>
      <c r="B30" s="31" t="s">
        <v>287</v>
      </c>
      <c r="C30" s="198"/>
      <c r="D30" s="195"/>
      <c r="E30" s="195"/>
      <c r="F30" s="195"/>
      <c r="G30" s="208"/>
      <c r="H30" s="208"/>
      <c r="I30" s="208"/>
      <c r="J30" s="182"/>
      <c r="K30" s="182"/>
      <c r="L30" s="182"/>
      <c r="M30" s="188"/>
      <c r="N30" s="188"/>
      <c r="O30" s="188"/>
      <c r="P30" s="215"/>
    </row>
    <row r="31" spans="1:16">
      <c r="A31" s="31" t="s">
        <v>207</v>
      </c>
      <c r="B31" s="31" t="s">
        <v>288</v>
      </c>
      <c r="C31" s="198"/>
      <c r="D31" s="195"/>
      <c r="E31" s="195"/>
      <c r="F31" s="195"/>
      <c r="G31" s="208"/>
      <c r="H31" s="208"/>
      <c r="I31" s="208"/>
      <c r="J31" s="182"/>
      <c r="K31" s="182"/>
      <c r="L31" s="182"/>
      <c r="M31" s="188"/>
      <c r="N31" s="188"/>
      <c r="O31" s="188"/>
      <c r="P31" s="215"/>
    </row>
    <row r="32" spans="1:16">
      <c r="A32" s="31" t="s">
        <v>209</v>
      </c>
      <c r="B32" s="31" t="s">
        <v>210</v>
      </c>
      <c r="C32" s="198"/>
      <c r="D32" s="195"/>
      <c r="E32" s="195"/>
      <c r="F32" s="195"/>
      <c r="G32" s="208"/>
      <c r="H32" s="208"/>
      <c r="I32" s="208"/>
      <c r="J32" s="182"/>
      <c r="K32" s="182"/>
      <c r="L32" s="182"/>
      <c r="M32" s="188"/>
      <c r="N32" s="188"/>
      <c r="O32" s="188"/>
      <c r="P32" s="215"/>
    </row>
    <row r="33" spans="1:16">
      <c r="A33" s="31" t="s">
        <v>213</v>
      </c>
      <c r="B33" s="31" t="s">
        <v>214</v>
      </c>
      <c r="C33" s="198"/>
      <c r="D33" s="195"/>
      <c r="E33" s="195"/>
      <c r="F33" s="195"/>
      <c r="G33" s="208"/>
      <c r="H33" s="208"/>
      <c r="I33" s="208"/>
      <c r="J33" s="182"/>
      <c r="K33" s="182"/>
      <c r="L33" s="182"/>
      <c r="M33" s="188"/>
      <c r="N33" s="188"/>
      <c r="O33" s="188"/>
      <c r="P33" s="215"/>
    </row>
    <row r="34" spans="1:16">
      <c r="A34" s="31" t="s">
        <v>212</v>
      </c>
      <c r="B34" s="31" t="s">
        <v>289</v>
      </c>
      <c r="C34" s="198"/>
      <c r="D34" s="195"/>
      <c r="E34" s="195"/>
      <c r="F34" s="195"/>
      <c r="G34" s="208"/>
      <c r="H34" s="208"/>
      <c r="I34" s="208"/>
      <c r="J34" s="182"/>
      <c r="K34" s="182"/>
      <c r="L34" s="182"/>
      <c r="M34" s="188"/>
      <c r="N34" s="188"/>
      <c r="O34" s="188"/>
      <c r="P34" s="215"/>
    </row>
    <row r="35" spans="1:16">
      <c r="A35" s="31" t="s">
        <v>211</v>
      </c>
      <c r="B35" s="31" t="s">
        <v>290</v>
      </c>
      <c r="C35" s="198"/>
      <c r="D35" s="195"/>
      <c r="E35" s="195"/>
      <c r="F35" s="195"/>
      <c r="G35" s="208"/>
      <c r="H35" s="208"/>
      <c r="I35" s="208"/>
      <c r="J35" s="182"/>
      <c r="K35" s="182"/>
      <c r="L35" s="182"/>
      <c r="M35" s="188"/>
      <c r="N35" s="188"/>
      <c r="O35" s="188"/>
      <c r="P35" s="215"/>
    </row>
    <row r="36" spans="1:16">
      <c r="A36" s="31" t="s">
        <v>215</v>
      </c>
      <c r="B36" s="31" t="s">
        <v>291</v>
      </c>
      <c r="C36" s="198"/>
      <c r="D36" s="195"/>
      <c r="E36" s="195"/>
      <c r="F36" s="195"/>
      <c r="G36" s="208"/>
      <c r="H36" s="208"/>
      <c r="I36" s="208"/>
      <c r="J36" s="182"/>
      <c r="K36" s="182"/>
      <c r="L36" s="182"/>
      <c r="M36" s="188"/>
      <c r="N36" s="188"/>
      <c r="O36" s="188"/>
      <c r="P36" s="215"/>
    </row>
    <row r="37" spans="1:16">
      <c r="A37" s="31" t="s">
        <v>216</v>
      </c>
      <c r="B37" s="31" t="s">
        <v>292</v>
      </c>
      <c r="C37" s="203"/>
      <c r="D37" s="196"/>
      <c r="E37" s="196"/>
      <c r="F37" s="196"/>
      <c r="G37" s="89"/>
      <c r="H37" s="89"/>
      <c r="I37" s="89"/>
      <c r="J37" s="183"/>
      <c r="K37" s="183"/>
      <c r="L37" s="183"/>
      <c r="M37" s="189"/>
      <c r="N37" s="189"/>
      <c r="O37" s="189"/>
      <c r="P37" s="216"/>
    </row>
    <row r="38" spans="1:16">
      <c r="B38" s="31" t="s">
        <v>293</v>
      </c>
      <c r="C38" s="198">
        <f t="shared" ref="C38:P38" si="0">+SUM(C13:C37)</f>
        <v>0</v>
      </c>
      <c r="D38" s="195">
        <f t="shared" si="0"/>
        <v>0</v>
      </c>
      <c r="E38" s="195">
        <f t="shared" ref="E38" si="1">+SUM(E13:E37)</f>
        <v>0</v>
      </c>
      <c r="F38" s="195">
        <f t="shared" ref="F38" si="2">+SUM(F13:F37)</f>
        <v>0</v>
      </c>
      <c r="G38" s="208">
        <f t="shared" si="0"/>
        <v>0</v>
      </c>
      <c r="H38" s="208">
        <f t="shared" ref="H38" si="3">+SUM(H13:H37)</f>
        <v>0</v>
      </c>
      <c r="I38" s="208">
        <f t="shared" ref="I38" si="4">+SUM(I13:I37)</f>
        <v>0</v>
      </c>
      <c r="J38" s="182">
        <f t="shared" si="0"/>
        <v>0</v>
      </c>
      <c r="K38" s="182">
        <f t="shared" ref="K38:L38" si="5">+SUM(K13:K37)</f>
        <v>0</v>
      </c>
      <c r="L38" s="182">
        <f t="shared" si="5"/>
        <v>0</v>
      </c>
      <c r="M38" s="188">
        <f t="shared" si="0"/>
        <v>800</v>
      </c>
      <c r="N38" s="188">
        <f t="shared" ref="N38:O38" si="6">+SUM(N13:N37)</f>
        <v>800</v>
      </c>
      <c r="O38" s="188">
        <f t="shared" si="6"/>
        <v>800</v>
      </c>
      <c r="P38" s="215">
        <f t="shared" si="0"/>
        <v>0</v>
      </c>
    </row>
    <row r="39" spans="1:16">
      <c r="C39" s="198"/>
      <c r="D39" s="195"/>
      <c r="E39" s="195"/>
      <c r="F39" s="195"/>
      <c r="G39" s="208"/>
      <c r="H39" s="208"/>
      <c r="I39" s="208"/>
      <c r="J39" s="182"/>
      <c r="K39" s="182"/>
      <c r="L39" s="182"/>
      <c r="M39" s="188"/>
      <c r="N39" s="188"/>
      <c r="O39" s="188"/>
      <c r="P39" s="215"/>
    </row>
    <row r="40" spans="1:16">
      <c r="A40" s="31" t="s">
        <v>294</v>
      </c>
      <c r="C40" s="198"/>
      <c r="D40" s="195"/>
      <c r="E40" s="195"/>
      <c r="F40" s="195"/>
      <c r="G40" s="208"/>
      <c r="H40" s="208"/>
      <c r="I40" s="208"/>
      <c r="J40" s="182"/>
      <c r="K40" s="182"/>
      <c r="L40" s="182"/>
      <c r="M40" s="188"/>
      <c r="N40" s="188"/>
      <c r="O40" s="188"/>
      <c r="P40" s="215"/>
    </row>
    <row r="41" spans="1:16">
      <c r="A41" s="31" t="s">
        <v>217</v>
      </c>
      <c r="B41" s="31" t="s">
        <v>295</v>
      </c>
      <c r="C41" s="198"/>
      <c r="D41" s="195"/>
      <c r="E41" s="195"/>
      <c r="F41" s="195"/>
      <c r="G41" s="208"/>
      <c r="H41" s="208"/>
      <c r="I41" s="208"/>
      <c r="J41" s="182"/>
      <c r="K41" s="182"/>
      <c r="L41" s="182"/>
      <c r="M41" s="188"/>
      <c r="N41" s="188"/>
      <c r="O41" s="188"/>
      <c r="P41" s="215"/>
    </row>
    <row r="42" spans="1:16">
      <c r="A42" s="31" t="s">
        <v>218</v>
      </c>
      <c r="B42" s="31" t="s">
        <v>219</v>
      </c>
      <c r="C42" s="198"/>
      <c r="D42" s="195"/>
      <c r="E42" s="195"/>
      <c r="F42" s="195"/>
      <c r="G42" s="208"/>
      <c r="H42" s="208"/>
      <c r="I42" s="208"/>
      <c r="J42" s="182"/>
      <c r="K42" s="182"/>
      <c r="L42" s="182"/>
      <c r="M42" s="188"/>
      <c r="N42" s="188"/>
      <c r="O42" s="188"/>
      <c r="P42" s="215"/>
    </row>
    <row r="43" spans="1:16">
      <c r="A43" s="31" t="s">
        <v>220</v>
      </c>
      <c r="B43" s="31" t="s">
        <v>221</v>
      </c>
      <c r="C43" s="198"/>
      <c r="D43" s="195"/>
      <c r="E43" s="195"/>
      <c r="F43" s="195"/>
      <c r="G43" s="208"/>
      <c r="H43" s="208"/>
      <c r="I43" s="208"/>
      <c r="J43" s="182"/>
      <c r="K43" s="182"/>
      <c r="L43" s="182"/>
      <c r="M43" s="188"/>
      <c r="N43" s="188"/>
      <c r="O43" s="188"/>
      <c r="P43" s="215"/>
    </row>
    <row r="44" spans="1:16">
      <c r="A44" s="31" t="s">
        <v>222</v>
      </c>
      <c r="B44" s="31" t="s">
        <v>296</v>
      </c>
      <c r="C44" s="198"/>
      <c r="D44" s="195"/>
      <c r="E44" s="195"/>
      <c r="F44" s="195"/>
      <c r="G44" s="208"/>
      <c r="H44" s="208"/>
      <c r="I44" s="208"/>
      <c r="J44" s="182"/>
      <c r="K44" s="182"/>
      <c r="L44" s="182"/>
      <c r="M44" s="188"/>
      <c r="N44" s="188"/>
      <c r="O44" s="188"/>
      <c r="P44" s="215"/>
    </row>
    <row r="45" spans="1:16">
      <c r="A45" s="31" t="s">
        <v>223</v>
      </c>
      <c r="B45" s="31" t="s">
        <v>224</v>
      </c>
      <c r="C45" s="198"/>
      <c r="D45" s="195"/>
      <c r="E45" s="195"/>
      <c r="F45" s="195"/>
      <c r="G45" s="208"/>
      <c r="H45" s="208"/>
      <c r="I45" s="208"/>
      <c r="J45" s="182"/>
      <c r="K45" s="182"/>
      <c r="L45" s="182"/>
      <c r="M45" s="188"/>
      <c r="N45" s="188"/>
      <c r="O45" s="188"/>
      <c r="P45" s="215"/>
    </row>
    <row r="46" spans="1:16">
      <c r="A46" s="31" t="s">
        <v>225</v>
      </c>
      <c r="B46" s="31" t="s">
        <v>226</v>
      </c>
      <c r="C46" s="198"/>
      <c r="D46" s="195"/>
      <c r="E46" s="195"/>
      <c r="F46" s="195"/>
      <c r="G46" s="208"/>
      <c r="H46" s="208"/>
      <c r="I46" s="208"/>
      <c r="J46" s="182"/>
      <c r="K46" s="182"/>
      <c r="L46" s="182"/>
      <c r="M46" s="188"/>
      <c r="N46" s="188"/>
      <c r="O46" s="188"/>
      <c r="P46" s="215"/>
    </row>
    <row r="47" spans="1:16">
      <c r="A47" s="31" t="s">
        <v>227</v>
      </c>
      <c r="B47" s="31" t="s">
        <v>297</v>
      </c>
      <c r="C47" s="198"/>
      <c r="D47" s="195"/>
      <c r="E47" s="195"/>
      <c r="F47" s="195"/>
      <c r="G47" s="208"/>
      <c r="H47" s="208"/>
      <c r="I47" s="208"/>
      <c r="J47" s="182"/>
      <c r="K47" s="182"/>
      <c r="L47" s="182"/>
      <c r="M47" s="188"/>
      <c r="N47" s="188"/>
      <c r="O47" s="188"/>
      <c r="P47" s="215"/>
    </row>
    <row r="48" spans="1:16">
      <c r="A48" s="31" t="s">
        <v>228</v>
      </c>
      <c r="B48" s="31" t="s">
        <v>298</v>
      </c>
      <c r="C48" s="203"/>
      <c r="D48" s="196"/>
      <c r="E48" s="196"/>
      <c r="F48" s="196"/>
      <c r="G48" s="89"/>
      <c r="H48" s="89"/>
      <c r="I48" s="89"/>
      <c r="J48" s="183"/>
      <c r="K48" s="183"/>
      <c r="L48" s="183"/>
      <c r="M48" s="189"/>
      <c r="N48" s="189"/>
      <c r="O48" s="189"/>
      <c r="P48" s="216"/>
    </row>
    <row r="49" spans="1:16">
      <c r="B49" s="31" t="s">
        <v>299</v>
      </c>
      <c r="C49" s="198">
        <f t="shared" ref="C49:P49" si="7">+SUM(C41:C48)</f>
        <v>0</v>
      </c>
      <c r="D49" s="195">
        <f t="shared" si="7"/>
        <v>0</v>
      </c>
      <c r="E49" s="195">
        <f t="shared" ref="E49" si="8">+SUM(E41:E48)</f>
        <v>0</v>
      </c>
      <c r="F49" s="195">
        <f t="shared" ref="F49" si="9">+SUM(F41:F48)</f>
        <v>0</v>
      </c>
      <c r="G49" s="208">
        <f t="shared" si="7"/>
        <v>0</v>
      </c>
      <c r="H49" s="208">
        <f t="shared" ref="H49" si="10">+SUM(H41:H48)</f>
        <v>0</v>
      </c>
      <c r="I49" s="208">
        <f t="shared" ref="I49" si="11">+SUM(I41:I48)</f>
        <v>0</v>
      </c>
      <c r="J49" s="182">
        <f t="shared" si="7"/>
        <v>0</v>
      </c>
      <c r="K49" s="182">
        <f t="shared" ref="K49:L49" si="12">+SUM(K41:K48)</f>
        <v>0</v>
      </c>
      <c r="L49" s="182">
        <f t="shared" si="12"/>
        <v>0</v>
      </c>
      <c r="M49" s="188">
        <f t="shared" si="7"/>
        <v>0</v>
      </c>
      <c r="N49" s="188">
        <f t="shared" ref="N49:O49" si="13">+SUM(N41:N48)</f>
        <v>0</v>
      </c>
      <c r="O49" s="188">
        <f t="shared" si="13"/>
        <v>0</v>
      </c>
      <c r="P49" s="215">
        <f t="shared" si="7"/>
        <v>0</v>
      </c>
    </row>
    <row r="50" spans="1:16">
      <c r="C50" s="198"/>
      <c r="D50" s="195"/>
      <c r="E50" s="195"/>
      <c r="F50" s="195"/>
      <c r="G50" s="208"/>
      <c r="H50" s="208"/>
      <c r="I50" s="208"/>
      <c r="J50" s="182"/>
      <c r="K50" s="182"/>
      <c r="L50" s="182"/>
      <c r="M50" s="188"/>
      <c r="N50" s="188"/>
      <c r="O50" s="188"/>
      <c r="P50" s="215"/>
    </row>
    <row r="51" spans="1:16">
      <c r="A51" s="31" t="s">
        <v>300</v>
      </c>
      <c r="C51" s="198"/>
      <c r="D51" s="195"/>
      <c r="E51" s="195"/>
      <c r="F51" s="195"/>
      <c r="G51" s="208"/>
      <c r="H51" s="208"/>
      <c r="I51" s="208"/>
      <c r="J51" s="182"/>
      <c r="K51" s="182"/>
      <c r="L51" s="182"/>
      <c r="M51" s="188"/>
      <c r="N51" s="188"/>
      <c r="O51" s="188"/>
      <c r="P51" s="215"/>
    </row>
    <row r="52" spans="1:16">
      <c r="A52" s="31" t="s">
        <v>301</v>
      </c>
      <c r="C52" s="198"/>
      <c r="D52" s="195"/>
      <c r="E52" s="195"/>
      <c r="F52" s="195"/>
      <c r="G52" s="208"/>
      <c r="H52" s="208"/>
      <c r="I52" s="208"/>
      <c r="J52" s="182"/>
      <c r="K52" s="182"/>
      <c r="L52" s="182"/>
      <c r="M52" s="188"/>
      <c r="N52" s="188"/>
      <c r="O52" s="188"/>
      <c r="P52" s="215"/>
    </row>
    <row r="53" spans="1:16">
      <c r="A53" s="31" t="s">
        <v>229</v>
      </c>
      <c r="B53" s="31" t="s">
        <v>389</v>
      </c>
      <c r="C53" s="198"/>
      <c r="D53" s="195">
        <f>255*SUM!B4</f>
        <v>163200</v>
      </c>
      <c r="E53" s="195">
        <f>265*SUM!B6</f>
        <v>56975</v>
      </c>
      <c r="F53" s="195">
        <v>110250</v>
      </c>
      <c r="G53" s="208"/>
      <c r="H53" s="208"/>
      <c r="I53" s="208"/>
      <c r="J53" s="182"/>
      <c r="K53" s="182"/>
      <c r="L53" s="182"/>
      <c r="M53" s="188"/>
      <c r="N53" s="188"/>
      <c r="O53" s="188"/>
      <c r="P53" s="215"/>
    </row>
    <row r="54" spans="1:16">
      <c r="A54" s="31" t="s">
        <v>230</v>
      </c>
      <c r="B54" s="31" t="s">
        <v>390</v>
      </c>
      <c r="C54" s="198"/>
      <c r="D54" s="195"/>
      <c r="E54" s="195"/>
      <c r="F54" s="195"/>
      <c r="G54" s="208"/>
      <c r="H54" s="208"/>
      <c r="I54" s="208"/>
      <c r="J54" s="182"/>
      <c r="K54" s="182"/>
      <c r="L54" s="182"/>
      <c r="M54" s="188"/>
      <c r="N54" s="188"/>
      <c r="O54" s="188"/>
      <c r="P54" s="215"/>
    </row>
    <row r="55" spans="1:16">
      <c r="A55" s="31" t="s">
        <v>231</v>
      </c>
      <c r="B55" s="31" t="s">
        <v>391</v>
      </c>
      <c r="C55" s="198"/>
      <c r="D55" s="195">
        <f>10*SUM!B4</f>
        <v>6400</v>
      </c>
      <c r="E55" s="195">
        <f>10*SUM!B6</f>
        <v>2150</v>
      </c>
      <c r="F55" s="195">
        <v>4900</v>
      </c>
      <c r="G55" s="208"/>
      <c r="H55" s="208"/>
      <c r="I55" s="208"/>
      <c r="J55" s="182"/>
      <c r="K55" s="182"/>
      <c r="L55" s="182"/>
      <c r="M55" s="188"/>
      <c r="N55" s="188"/>
      <c r="O55" s="188"/>
      <c r="P55" s="215"/>
    </row>
    <row r="56" spans="1:16">
      <c r="A56" s="31" t="s">
        <v>232</v>
      </c>
      <c r="B56" s="31" t="s">
        <v>302</v>
      </c>
      <c r="C56" s="198"/>
      <c r="D56" s="195">
        <f>67401/580*SUM(B4:B5)</f>
        <v>74373.517241379319</v>
      </c>
      <c r="E56" s="195">
        <f>67401/580*SUM(B6)</f>
        <v>24984.853448275862</v>
      </c>
      <c r="F56" s="195">
        <f>67401/580*SUM(B7)</f>
        <v>46483.448275862072</v>
      </c>
      <c r="G56" s="208"/>
      <c r="H56" s="208"/>
      <c r="I56" s="208"/>
      <c r="J56" s="182"/>
      <c r="K56" s="182"/>
      <c r="L56" s="182"/>
      <c r="M56" s="188"/>
      <c r="N56" s="188"/>
      <c r="O56" s="188"/>
      <c r="P56" s="215"/>
    </row>
    <row r="57" spans="1:16">
      <c r="A57" s="31" t="s">
        <v>233</v>
      </c>
      <c r="B57" s="31" t="s">
        <v>303</v>
      </c>
      <c r="C57" s="198"/>
      <c r="D57" s="195"/>
      <c r="E57" s="195"/>
      <c r="F57" s="195"/>
      <c r="G57" s="208"/>
      <c r="H57" s="208"/>
      <c r="I57" s="208"/>
      <c r="J57" s="182"/>
      <c r="K57" s="182"/>
      <c r="L57" s="182"/>
      <c r="M57" s="188"/>
      <c r="N57" s="188"/>
      <c r="O57" s="188"/>
      <c r="P57" s="215"/>
    </row>
    <row r="58" spans="1:16">
      <c r="A58" s="31" t="s">
        <v>0</v>
      </c>
      <c r="B58" s="31" t="s">
        <v>304</v>
      </c>
      <c r="C58" s="198"/>
      <c r="D58" s="195"/>
      <c r="E58" s="195"/>
      <c r="F58" s="195"/>
      <c r="G58" s="208"/>
      <c r="H58" s="208"/>
      <c r="I58" s="208"/>
      <c r="J58" s="182"/>
      <c r="K58" s="182"/>
      <c r="L58" s="182"/>
      <c r="M58" s="188"/>
      <c r="N58" s="188"/>
      <c r="O58" s="188"/>
      <c r="P58" s="215"/>
    </row>
    <row r="59" spans="1:16">
      <c r="A59" s="31" t="s">
        <v>1</v>
      </c>
      <c r="B59" s="31" t="s">
        <v>305</v>
      </c>
      <c r="C59" s="198"/>
      <c r="D59" s="195"/>
      <c r="E59" s="195"/>
      <c r="F59" s="195"/>
      <c r="G59" s="208"/>
      <c r="H59" s="208"/>
      <c r="I59" s="208"/>
      <c r="J59" s="182"/>
      <c r="K59" s="182"/>
      <c r="L59" s="182"/>
      <c r="M59" s="188"/>
      <c r="N59" s="188"/>
      <c r="O59" s="188"/>
      <c r="P59" s="215"/>
    </row>
    <row r="60" spans="1:16">
      <c r="A60" s="31" t="s">
        <v>3</v>
      </c>
      <c r="B60" s="31" t="s">
        <v>2</v>
      </c>
      <c r="C60" s="198"/>
      <c r="D60" s="195"/>
      <c r="E60" s="195"/>
      <c r="F60" s="195"/>
      <c r="G60" s="208"/>
      <c r="H60" s="208"/>
      <c r="I60" s="208"/>
      <c r="J60" s="182"/>
      <c r="K60" s="182"/>
      <c r="L60" s="182"/>
      <c r="M60" s="188"/>
      <c r="N60" s="188"/>
      <c r="O60" s="188"/>
      <c r="P60" s="215"/>
    </row>
    <row r="61" spans="1:16">
      <c r="A61" s="31" t="s">
        <v>4</v>
      </c>
      <c r="B61" s="31" t="s">
        <v>5</v>
      </c>
      <c r="C61" s="198"/>
      <c r="D61" s="195">
        <f>125000/SUM(SUM!$B$4:$B$6)*SUM!$B4</f>
        <v>93567.251461988315</v>
      </c>
      <c r="E61" s="195">
        <f>125000/SUM(SUM!$B$4:$B$6)*SUM!$B6</f>
        <v>31432.748538011696</v>
      </c>
      <c r="F61" s="195">
        <v>71637</v>
      </c>
      <c r="G61" s="208"/>
      <c r="H61" s="208"/>
      <c r="I61" s="208"/>
      <c r="J61" s="182"/>
      <c r="K61" s="182"/>
      <c r="L61" s="182"/>
      <c r="M61" s="188"/>
      <c r="N61" s="188"/>
      <c r="O61" s="188"/>
      <c r="P61" s="215"/>
    </row>
    <row r="62" spans="1:16">
      <c r="A62" s="31" t="s">
        <v>6</v>
      </c>
      <c r="B62" s="31" t="s">
        <v>7</v>
      </c>
      <c r="C62" s="198"/>
      <c r="D62" s="195"/>
      <c r="E62" s="195"/>
      <c r="F62" s="195"/>
      <c r="G62" s="208"/>
      <c r="H62" s="208"/>
      <c r="I62" s="208"/>
      <c r="J62" s="182"/>
      <c r="K62" s="182"/>
      <c r="L62" s="182"/>
      <c r="M62" s="188"/>
      <c r="N62" s="188"/>
      <c r="O62" s="188"/>
      <c r="P62" s="215"/>
    </row>
    <row r="63" spans="1:16">
      <c r="A63" s="31" t="s">
        <v>8</v>
      </c>
      <c r="B63" s="31" t="s">
        <v>9</v>
      </c>
      <c r="C63" s="198"/>
      <c r="D63" s="195"/>
      <c r="E63" s="195"/>
      <c r="F63" s="195"/>
      <c r="G63" s="208"/>
      <c r="H63" s="208"/>
      <c r="I63" s="208"/>
      <c r="J63" s="182"/>
      <c r="K63" s="182"/>
      <c r="L63" s="182"/>
      <c r="M63" s="188"/>
      <c r="N63" s="188"/>
      <c r="O63" s="188"/>
      <c r="P63" s="215"/>
    </row>
    <row r="64" spans="1:16">
      <c r="A64" s="31" t="s">
        <v>11</v>
      </c>
      <c r="B64" s="31" t="s">
        <v>307</v>
      </c>
      <c r="C64" s="198"/>
      <c r="D64" s="195"/>
      <c r="E64" s="195"/>
      <c r="F64" s="195"/>
      <c r="G64" s="208"/>
      <c r="H64" s="208"/>
      <c r="I64" s="208"/>
      <c r="J64" s="182"/>
      <c r="K64" s="182"/>
      <c r="L64" s="182"/>
      <c r="M64" s="188"/>
      <c r="N64" s="188"/>
      <c r="O64" s="188"/>
      <c r="P64" s="215"/>
    </row>
    <row r="65" spans="1:16">
      <c r="A65" s="31" t="s">
        <v>10</v>
      </c>
      <c r="B65" s="31" t="s">
        <v>306</v>
      </c>
      <c r="C65" s="203"/>
      <c r="D65" s="196"/>
      <c r="E65" s="196"/>
      <c r="F65" s="196"/>
      <c r="G65" s="89"/>
      <c r="H65" s="89"/>
      <c r="I65" s="89"/>
      <c r="J65" s="183"/>
      <c r="K65" s="183"/>
      <c r="L65" s="183"/>
      <c r="M65" s="189"/>
      <c r="N65" s="189"/>
      <c r="O65" s="189"/>
      <c r="P65" s="216"/>
    </row>
    <row r="66" spans="1:16">
      <c r="B66" s="31" t="s">
        <v>308</v>
      </c>
      <c r="C66" s="198">
        <f t="shared" ref="C66:P66" si="14">+SUM(C53:C65)</f>
        <v>0</v>
      </c>
      <c r="D66" s="195">
        <f t="shared" si="14"/>
        <v>337540.76870336762</v>
      </c>
      <c r="E66" s="195">
        <f t="shared" ref="E66" si="15">+SUM(E53:E65)</f>
        <v>115542.60198628755</v>
      </c>
      <c r="F66" s="195">
        <f t="shared" ref="F66" si="16">+SUM(F53:F65)</f>
        <v>233270.44827586209</v>
      </c>
      <c r="G66" s="208">
        <f t="shared" si="14"/>
        <v>0</v>
      </c>
      <c r="H66" s="208">
        <f t="shared" ref="H66" si="17">+SUM(H53:H65)</f>
        <v>0</v>
      </c>
      <c r="I66" s="208">
        <f t="shared" ref="I66" si="18">+SUM(I53:I65)</f>
        <v>0</v>
      </c>
      <c r="J66" s="182">
        <f t="shared" si="14"/>
        <v>0</v>
      </c>
      <c r="K66" s="182">
        <f t="shared" ref="K66:L66" si="19">+SUM(K53:K65)</f>
        <v>0</v>
      </c>
      <c r="L66" s="182">
        <f t="shared" si="19"/>
        <v>0</v>
      </c>
      <c r="M66" s="188">
        <f t="shared" si="14"/>
        <v>0</v>
      </c>
      <c r="N66" s="188">
        <f t="shared" ref="N66:O66" si="20">+SUM(N53:N65)</f>
        <v>0</v>
      </c>
      <c r="O66" s="188">
        <f t="shared" si="20"/>
        <v>0</v>
      </c>
      <c r="P66" s="215">
        <f t="shared" si="14"/>
        <v>0</v>
      </c>
    </row>
    <row r="67" spans="1:16">
      <c r="C67" s="198"/>
      <c r="D67" s="195"/>
      <c r="E67" s="195"/>
      <c r="F67" s="195"/>
      <c r="G67" s="208"/>
      <c r="H67" s="208"/>
      <c r="I67" s="208"/>
      <c r="J67" s="182"/>
      <c r="K67" s="182"/>
      <c r="L67" s="182"/>
      <c r="M67" s="188"/>
      <c r="N67" s="188"/>
      <c r="O67" s="188"/>
      <c r="P67" s="215"/>
    </row>
    <row r="68" spans="1:16" s="4" customFormat="1">
      <c r="A68" s="35"/>
      <c r="B68" s="35" t="s">
        <v>309</v>
      </c>
      <c r="C68" s="106">
        <f>SUM(C38+C49+C66)</f>
        <v>0</v>
      </c>
      <c r="D68" s="197">
        <f t="shared" ref="D68:P68" si="21">SUM(D38+D49+D66)</f>
        <v>337540.76870336762</v>
      </c>
      <c r="E68" s="197">
        <f t="shared" ref="E68" si="22">SUM(E38+E49+E66)</f>
        <v>115542.60198628755</v>
      </c>
      <c r="F68" s="197">
        <f t="shared" ref="F68" si="23">SUM(F38+F49+F66)</f>
        <v>233270.44827586209</v>
      </c>
      <c r="G68" s="112">
        <f t="shared" si="21"/>
        <v>0</v>
      </c>
      <c r="H68" s="112">
        <f t="shared" ref="H68" si="24">SUM(H38+H49+H66)</f>
        <v>0</v>
      </c>
      <c r="I68" s="112">
        <f t="shared" ref="I68" si="25">SUM(I38+I49+I66)</f>
        <v>0</v>
      </c>
      <c r="J68" s="184">
        <f t="shared" si="21"/>
        <v>0</v>
      </c>
      <c r="K68" s="184">
        <f t="shared" ref="K68:L68" si="26">SUM(K38+K49+K66)</f>
        <v>0</v>
      </c>
      <c r="L68" s="184">
        <f t="shared" si="26"/>
        <v>0</v>
      </c>
      <c r="M68" s="190">
        <f t="shared" si="21"/>
        <v>800</v>
      </c>
      <c r="N68" s="190">
        <f t="shared" ref="N68:O68" si="27">SUM(N38+N49+N66)</f>
        <v>800</v>
      </c>
      <c r="O68" s="190">
        <f t="shared" si="27"/>
        <v>800</v>
      </c>
      <c r="P68" s="217">
        <f t="shared" si="21"/>
        <v>0</v>
      </c>
    </row>
    <row r="69" spans="1:16">
      <c r="C69" s="198"/>
      <c r="D69" s="195"/>
      <c r="E69" s="195"/>
      <c r="F69" s="195"/>
      <c r="G69" s="208"/>
      <c r="H69" s="208"/>
      <c r="I69" s="208"/>
      <c r="J69" s="182"/>
      <c r="K69" s="182"/>
      <c r="L69" s="182"/>
      <c r="M69" s="188"/>
      <c r="N69" s="188"/>
      <c r="O69" s="188"/>
      <c r="P69" s="215"/>
    </row>
    <row r="70" spans="1:16">
      <c r="A70" s="31" t="s">
        <v>310</v>
      </c>
      <c r="C70" s="198"/>
      <c r="D70" s="195"/>
      <c r="E70" s="195"/>
      <c r="F70" s="195"/>
      <c r="G70" s="208"/>
      <c r="H70" s="208"/>
      <c r="I70" s="208"/>
      <c r="J70" s="182"/>
      <c r="K70" s="182"/>
      <c r="L70" s="182"/>
      <c r="M70" s="188"/>
      <c r="N70" s="188"/>
      <c r="O70" s="188"/>
      <c r="P70" s="215"/>
    </row>
    <row r="71" spans="1:16">
      <c r="A71" s="31" t="s">
        <v>311</v>
      </c>
      <c r="C71" s="198"/>
      <c r="D71" s="195"/>
      <c r="E71" s="195"/>
      <c r="F71" s="195"/>
      <c r="G71" s="208"/>
      <c r="H71" s="208"/>
      <c r="I71" s="208"/>
      <c r="J71" s="182"/>
      <c r="K71" s="182"/>
      <c r="L71" s="182"/>
      <c r="M71" s="188"/>
      <c r="N71" s="188"/>
      <c r="O71" s="188"/>
      <c r="P71" s="215"/>
    </row>
    <row r="72" spans="1:16">
      <c r="A72" s="31" t="s">
        <v>19</v>
      </c>
      <c r="B72" s="31" t="s">
        <v>320</v>
      </c>
      <c r="C72" s="198">
        <f>SUM('13-2014 Ret Emp'!I72)</f>
        <v>60735.639027162579</v>
      </c>
      <c r="D72" s="195"/>
      <c r="E72" s="195"/>
      <c r="F72" s="195"/>
      <c r="G72" s="208"/>
      <c r="H72" s="208"/>
      <c r="I72" s="208"/>
      <c r="J72" s="182"/>
      <c r="K72" s="182"/>
      <c r="L72" s="182"/>
      <c r="M72" s="188"/>
      <c r="N72" s="188"/>
      <c r="O72" s="188"/>
      <c r="P72" s="215">
        <f>SUM('AC-SCH'!D25)</f>
        <v>55581.713481192077</v>
      </c>
    </row>
    <row r="73" spans="1:16">
      <c r="A73" s="31" t="s">
        <v>12</v>
      </c>
      <c r="B73" s="31" t="s">
        <v>312</v>
      </c>
      <c r="D73" s="195"/>
      <c r="E73" s="195"/>
      <c r="F73" s="195"/>
      <c r="G73" s="208"/>
      <c r="H73" s="208"/>
      <c r="I73" s="208"/>
      <c r="J73" s="182"/>
      <c r="K73" s="182"/>
      <c r="L73" s="182"/>
      <c r="M73" s="188">
        <f>SUM('13-2014 Ret Emp'!I22)*M7</f>
        <v>37593.065763000006</v>
      </c>
      <c r="N73" s="188">
        <f>SUM('AC-SCH'!F106)*N7</f>
        <v>19936.150000000001</v>
      </c>
      <c r="O73" s="188">
        <f>SUM('AC-SCH'!F106)*O7</f>
        <v>3987.2300000000005</v>
      </c>
      <c r="P73" s="215"/>
    </row>
    <row r="74" spans="1:16">
      <c r="A74" s="31" t="s">
        <v>13</v>
      </c>
      <c r="B74" s="31" t="s">
        <v>313</v>
      </c>
      <c r="C74" s="198"/>
      <c r="D74" s="195"/>
      <c r="E74" s="195"/>
      <c r="F74" s="195"/>
      <c r="G74" s="208"/>
      <c r="H74" s="208"/>
      <c r="I74" s="208"/>
      <c r="J74" s="182"/>
      <c r="K74" s="182"/>
      <c r="L74" s="182"/>
      <c r="M74" s="188"/>
      <c r="N74" s="188"/>
      <c r="O74" s="188"/>
      <c r="P74" s="215"/>
    </row>
    <row r="75" spans="1:16">
      <c r="A75" s="31" t="s">
        <v>14</v>
      </c>
      <c r="B75" s="31" t="s">
        <v>314</v>
      </c>
      <c r="C75" s="198"/>
      <c r="D75" s="195">
        <v>55679</v>
      </c>
      <c r="E75" s="195">
        <f>+'AC-SCH'!H126*E7</f>
        <v>27013.304398802022</v>
      </c>
      <c r="F75" s="195">
        <v>47179</v>
      </c>
      <c r="G75" s="208">
        <f>SUM('13-2014 Ret Emp'!I5)*G7</f>
        <v>21635.520439500004</v>
      </c>
      <c r="H75" s="208">
        <f>SUM('AC-SCH'!F136)*H7</f>
        <v>9335.715400000001</v>
      </c>
      <c r="I75" s="208">
        <f>SUM('AC-SCH'!F136)*I7</f>
        <v>16337.50195</v>
      </c>
      <c r="J75" s="182"/>
      <c r="K75" s="182"/>
      <c r="L75" s="182"/>
      <c r="M75" s="188"/>
      <c r="N75" s="188"/>
      <c r="O75" s="188"/>
      <c r="P75" s="215"/>
    </row>
    <row r="76" spans="1:16">
      <c r="A76" s="31" t="s">
        <v>15</v>
      </c>
      <c r="B76" s="31" t="s">
        <v>315</v>
      </c>
      <c r="C76" s="198"/>
      <c r="D76" s="195"/>
      <c r="E76" s="195"/>
      <c r="F76" s="195"/>
      <c r="G76" s="208"/>
      <c r="H76" s="208"/>
      <c r="I76" s="208"/>
      <c r="J76" s="218">
        <v>52453</v>
      </c>
      <c r="K76" s="218">
        <f>+'AC-SCH'!F127*K7</f>
        <v>0</v>
      </c>
      <c r="L76" s="218">
        <v>52453</v>
      </c>
      <c r="M76" s="188"/>
      <c r="N76" s="188"/>
      <c r="O76" s="188"/>
      <c r="P76" s="215"/>
    </row>
    <row r="77" spans="1:16">
      <c r="A77" s="31" t="s">
        <v>16</v>
      </c>
      <c r="B77" s="31" t="s">
        <v>316</v>
      </c>
      <c r="C77" s="198"/>
      <c r="D77" s="195"/>
      <c r="E77" s="195"/>
      <c r="F77" s="195"/>
      <c r="G77" s="208"/>
      <c r="H77" s="208"/>
      <c r="I77" s="208"/>
      <c r="J77" s="218"/>
      <c r="K77" s="218"/>
      <c r="L77" s="218"/>
      <c r="M77" s="188"/>
      <c r="N77" s="188"/>
      <c r="O77" s="188"/>
      <c r="P77" s="215"/>
    </row>
    <row r="78" spans="1:16">
      <c r="A78" s="31" t="s">
        <v>17</v>
      </c>
      <c r="B78" s="31" t="s">
        <v>317</v>
      </c>
      <c r="C78" s="198"/>
      <c r="D78" s="195"/>
      <c r="E78" s="195"/>
      <c r="F78" s="195"/>
      <c r="G78" s="208"/>
      <c r="H78" s="208"/>
      <c r="I78" s="208"/>
      <c r="J78" s="218"/>
      <c r="K78" s="218"/>
      <c r="L78" s="218"/>
      <c r="M78" s="188"/>
      <c r="N78" s="188"/>
      <c r="O78" s="188"/>
      <c r="P78" s="215"/>
    </row>
    <row r="79" spans="1:16" ht="14.25" customHeight="1">
      <c r="A79" s="31" t="s">
        <v>18</v>
      </c>
      <c r="B79" s="31" t="s">
        <v>319</v>
      </c>
      <c r="C79" s="203"/>
      <c r="D79" s="196"/>
      <c r="E79" s="196"/>
      <c r="F79" s="196"/>
      <c r="G79" s="89"/>
      <c r="H79" s="89"/>
      <c r="I79" s="89"/>
      <c r="J79" s="219"/>
      <c r="K79" s="219"/>
      <c r="L79" s="219"/>
      <c r="M79" s="189"/>
      <c r="N79" s="189"/>
      <c r="O79" s="189"/>
      <c r="P79" s="216"/>
    </row>
    <row r="80" spans="1:16">
      <c r="B80" s="31" t="s">
        <v>24</v>
      </c>
      <c r="C80" s="198">
        <f>SUM(C72:C79)</f>
        <v>60735.639027162579</v>
      </c>
      <c r="D80" s="195">
        <f t="shared" ref="D80:P80" si="28">SUM(D72:D79)</f>
        <v>55679</v>
      </c>
      <c r="E80" s="195">
        <f t="shared" ref="E80" si="29">SUM(E72:E79)</f>
        <v>27013.304398802022</v>
      </c>
      <c r="F80" s="195">
        <f t="shared" ref="F80" si="30">SUM(F72:F79)</f>
        <v>47179</v>
      </c>
      <c r="G80" s="208">
        <f t="shared" si="28"/>
        <v>21635.520439500004</v>
      </c>
      <c r="H80" s="208">
        <f t="shared" ref="H80" si="31">SUM(H72:H79)</f>
        <v>9335.715400000001</v>
      </c>
      <c r="I80" s="208">
        <f t="shared" ref="I80" si="32">SUM(I72:I79)</f>
        <v>16337.50195</v>
      </c>
      <c r="J80" s="182">
        <f t="shared" si="28"/>
        <v>52453</v>
      </c>
      <c r="K80" s="182">
        <f t="shared" ref="K80:L80" si="33">SUM(K72:K79)</f>
        <v>0</v>
      </c>
      <c r="L80" s="182">
        <f t="shared" si="33"/>
        <v>52453</v>
      </c>
      <c r="M80" s="188">
        <f t="shared" si="28"/>
        <v>37593.065763000006</v>
      </c>
      <c r="N80" s="188">
        <f t="shared" ref="N80:O80" si="34">SUM(N72:N79)</f>
        <v>19936.150000000001</v>
      </c>
      <c r="O80" s="188">
        <f t="shared" si="34"/>
        <v>3987.2300000000005</v>
      </c>
      <c r="P80" s="215">
        <f t="shared" si="28"/>
        <v>55581.713481192077</v>
      </c>
    </row>
    <row r="81" spans="1:16">
      <c r="C81" s="198"/>
      <c r="D81" s="195"/>
      <c r="E81" s="195"/>
      <c r="F81" s="195"/>
      <c r="G81" s="208"/>
      <c r="H81" s="208"/>
      <c r="I81" s="208"/>
      <c r="J81" s="182"/>
      <c r="K81" s="182"/>
      <c r="L81" s="182"/>
      <c r="M81" s="188"/>
      <c r="N81" s="188"/>
      <c r="O81" s="188"/>
      <c r="P81" s="215"/>
    </row>
    <row r="82" spans="1:16">
      <c r="C82" s="198"/>
      <c r="D82" s="195"/>
      <c r="E82" s="195"/>
      <c r="F82" s="195"/>
      <c r="G82" s="208"/>
      <c r="H82" s="208"/>
      <c r="I82" s="208"/>
      <c r="J82" s="182"/>
      <c r="K82" s="182"/>
      <c r="L82" s="182"/>
      <c r="M82" s="188"/>
      <c r="N82" s="188"/>
      <c r="O82" s="188"/>
      <c r="P82" s="215"/>
    </row>
    <row r="83" spans="1:16">
      <c r="A83" s="36" t="s">
        <v>322</v>
      </c>
      <c r="C83" s="198"/>
      <c r="D83" s="195"/>
      <c r="E83" s="195"/>
      <c r="F83" s="195"/>
      <c r="G83" s="208"/>
      <c r="H83" s="208"/>
      <c r="I83" s="208"/>
      <c r="J83" s="182"/>
      <c r="K83" s="182"/>
      <c r="L83" s="182"/>
      <c r="M83" s="188"/>
      <c r="N83" s="188"/>
      <c r="O83" s="188"/>
      <c r="P83" s="215"/>
    </row>
    <row r="84" spans="1:16">
      <c r="A84" s="31" t="s">
        <v>20</v>
      </c>
      <c r="B84" s="31" t="s">
        <v>321</v>
      </c>
      <c r="C84" s="198"/>
      <c r="D84" s="195"/>
      <c r="E84" s="195"/>
      <c r="F84" s="195"/>
      <c r="G84" s="208"/>
      <c r="H84" s="208"/>
      <c r="I84" s="208"/>
      <c r="J84" s="182"/>
      <c r="K84" s="182"/>
      <c r="L84" s="182"/>
      <c r="M84" s="188"/>
      <c r="N84" s="188"/>
      <c r="O84" s="188"/>
      <c r="P84" s="215"/>
    </row>
    <row r="85" spans="1:16">
      <c r="A85" s="31" t="s">
        <v>21</v>
      </c>
      <c r="B85" s="31" t="s">
        <v>322</v>
      </c>
      <c r="C85" s="198"/>
      <c r="D85" s="195"/>
      <c r="E85" s="195"/>
      <c r="F85" s="195"/>
      <c r="G85" s="208"/>
      <c r="H85" s="208"/>
      <c r="I85" s="208"/>
      <c r="J85" s="182"/>
      <c r="K85" s="182"/>
      <c r="L85" s="182"/>
      <c r="M85" s="188"/>
      <c r="N85" s="188"/>
      <c r="O85" s="188"/>
      <c r="P85" s="215"/>
    </row>
    <row r="86" spans="1:16">
      <c r="A86" s="31" t="s">
        <v>406</v>
      </c>
      <c r="B86" s="31" t="s">
        <v>407</v>
      </c>
      <c r="C86" s="198">
        <v>12000</v>
      </c>
      <c r="D86" s="195"/>
      <c r="E86" s="195"/>
      <c r="F86" s="195"/>
      <c r="G86" s="208"/>
      <c r="H86" s="208"/>
      <c r="I86" s="208"/>
      <c r="J86" s="182"/>
      <c r="K86" s="182"/>
      <c r="L86" s="182"/>
      <c r="M86" s="188"/>
      <c r="N86" s="188"/>
      <c r="O86" s="188"/>
      <c r="P86" s="215"/>
    </row>
    <row r="87" spans="1:16">
      <c r="A87" s="31" t="s">
        <v>22</v>
      </c>
      <c r="B87" s="31" t="s">
        <v>23</v>
      </c>
      <c r="C87" s="203"/>
      <c r="D87" s="196"/>
      <c r="E87" s="196"/>
      <c r="F87" s="196"/>
      <c r="G87" s="89"/>
      <c r="H87" s="89"/>
      <c r="I87" s="89"/>
      <c r="J87" s="183"/>
      <c r="K87" s="183"/>
      <c r="L87" s="183"/>
      <c r="M87" s="189"/>
      <c r="N87" s="189"/>
      <c r="O87" s="189"/>
      <c r="P87" s="216"/>
    </row>
    <row r="88" spans="1:16">
      <c r="B88" s="31" t="s">
        <v>323</v>
      </c>
      <c r="C88" s="198">
        <f t="shared" ref="C88:P88" si="35">+SUM(C84:C87)</f>
        <v>12000</v>
      </c>
      <c r="D88" s="195">
        <f t="shared" si="35"/>
        <v>0</v>
      </c>
      <c r="E88" s="195">
        <f t="shared" ref="E88" si="36">+SUM(E84:E87)</f>
        <v>0</v>
      </c>
      <c r="F88" s="195">
        <f t="shared" ref="F88" si="37">+SUM(F84:F87)</f>
        <v>0</v>
      </c>
      <c r="G88" s="208">
        <f t="shared" si="35"/>
        <v>0</v>
      </c>
      <c r="H88" s="208">
        <f t="shared" ref="H88" si="38">+SUM(H84:H87)</f>
        <v>0</v>
      </c>
      <c r="I88" s="208">
        <f t="shared" ref="I88" si="39">+SUM(I84:I87)</f>
        <v>0</v>
      </c>
      <c r="J88" s="182">
        <f t="shared" si="35"/>
        <v>0</v>
      </c>
      <c r="K88" s="182">
        <f t="shared" ref="K88:L88" si="40">+SUM(K84:K87)</f>
        <v>0</v>
      </c>
      <c r="L88" s="182">
        <f t="shared" si="40"/>
        <v>0</v>
      </c>
      <c r="M88" s="188">
        <f t="shared" si="35"/>
        <v>0</v>
      </c>
      <c r="N88" s="188">
        <f t="shared" ref="N88:O88" si="41">+SUM(N84:N87)</f>
        <v>0</v>
      </c>
      <c r="O88" s="188">
        <f t="shared" si="41"/>
        <v>0</v>
      </c>
      <c r="P88" s="215">
        <f t="shared" si="35"/>
        <v>0</v>
      </c>
    </row>
    <row r="89" spans="1:16">
      <c r="C89" s="198"/>
      <c r="D89" s="195"/>
      <c r="E89" s="195"/>
      <c r="F89" s="195"/>
      <c r="G89" s="208"/>
      <c r="H89" s="208"/>
      <c r="I89" s="208"/>
      <c r="J89" s="182"/>
      <c r="K89" s="182"/>
      <c r="L89" s="182"/>
      <c r="M89" s="188"/>
      <c r="N89" s="188"/>
      <c r="O89" s="188"/>
      <c r="P89" s="215"/>
    </row>
    <row r="90" spans="1:16">
      <c r="B90" s="31" t="s">
        <v>324</v>
      </c>
      <c r="C90" s="198">
        <f>SUM(C80+C88)</f>
        <v>72735.639027162571</v>
      </c>
      <c r="D90" s="195">
        <f t="shared" ref="D90:P90" si="42">SUM(D80+D88)</f>
        <v>55679</v>
      </c>
      <c r="E90" s="195">
        <f t="shared" ref="E90" si="43">SUM(E80+E88)</f>
        <v>27013.304398802022</v>
      </c>
      <c r="F90" s="195">
        <f t="shared" ref="F90" si="44">SUM(F80+F88)</f>
        <v>47179</v>
      </c>
      <c r="G90" s="208">
        <f t="shared" si="42"/>
        <v>21635.520439500004</v>
      </c>
      <c r="H90" s="208">
        <f t="shared" ref="H90" si="45">SUM(H80+H88)</f>
        <v>9335.715400000001</v>
      </c>
      <c r="I90" s="208">
        <f t="shared" ref="I90" si="46">SUM(I80+I88)</f>
        <v>16337.50195</v>
      </c>
      <c r="J90" s="182">
        <f t="shared" si="42"/>
        <v>52453</v>
      </c>
      <c r="K90" s="182">
        <f t="shared" ref="K90:L90" si="47">SUM(K80+K88)</f>
        <v>0</v>
      </c>
      <c r="L90" s="182">
        <f t="shared" si="47"/>
        <v>52453</v>
      </c>
      <c r="M90" s="188">
        <f t="shared" si="42"/>
        <v>37593.065763000006</v>
      </c>
      <c r="N90" s="188">
        <f t="shared" ref="N90:O90" si="48">SUM(N80+N88)</f>
        <v>19936.150000000001</v>
      </c>
      <c r="O90" s="188">
        <f t="shared" si="48"/>
        <v>3987.2300000000005</v>
      </c>
      <c r="P90" s="215">
        <f t="shared" si="42"/>
        <v>55581.713481192077</v>
      </c>
    </row>
    <row r="91" spans="1:16">
      <c r="C91" s="198"/>
      <c r="D91" s="195"/>
      <c r="E91" s="195"/>
      <c r="F91" s="195"/>
      <c r="G91" s="208"/>
      <c r="H91" s="208"/>
      <c r="I91" s="208"/>
      <c r="J91" s="182"/>
      <c r="K91" s="182"/>
      <c r="L91" s="182"/>
      <c r="M91" s="188"/>
      <c r="N91" s="188"/>
      <c r="O91" s="188"/>
      <c r="P91" s="215"/>
    </row>
    <row r="92" spans="1:16">
      <c r="A92" s="31" t="s">
        <v>325</v>
      </c>
      <c r="C92" s="198"/>
      <c r="D92" s="195"/>
      <c r="E92" s="195"/>
      <c r="F92" s="195"/>
      <c r="G92" s="208"/>
      <c r="H92" s="208"/>
      <c r="I92" s="208"/>
      <c r="J92" s="182"/>
      <c r="K92" s="182"/>
      <c r="L92" s="182"/>
      <c r="M92" s="188"/>
      <c r="N92" s="188"/>
      <c r="O92" s="188"/>
      <c r="P92" s="215"/>
    </row>
    <row r="93" spans="1:16">
      <c r="A93" s="31" t="s">
        <v>25</v>
      </c>
      <c r="B93" s="31" t="s">
        <v>33</v>
      </c>
      <c r="C93" s="198">
        <f t="shared" ref="C93:P93" si="49">+C$7*139.64*2*1.05*12</f>
        <v>3518.9279999999999</v>
      </c>
      <c r="D93" s="195">
        <f t="shared" si="49"/>
        <v>3518.9279999999999</v>
      </c>
      <c r="E93" s="195">
        <f t="shared" si="49"/>
        <v>1759.4639999999999</v>
      </c>
      <c r="F93" s="195">
        <f t="shared" si="49"/>
        <v>3518.9279999999999</v>
      </c>
      <c r="G93" s="208">
        <f t="shared" si="49"/>
        <v>1583.5176000000001</v>
      </c>
      <c r="H93" s="208">
        <f t="shared" si="49"/>
        <v>703.78559999999993</v>
      </c>
      <c r="I93" s="208">
        <f t="shared" si="49"/>
        <v>1231.6247999999998</v>
      </c>
      <c r="J93" s="182">
        <f t="shared" si="49"/>
        <v>3518.9279999999999</v>
      </c>
      <c r="K93" s="182">
        <f t="shared" si="49"/>
        <v>0</v>
      </c>
      <c r="L93" s="182">
        <f t="shared" si="49"/>
        <v>3518.9279999999999</v>
      </c>
      <c r="M93" s="188">
        <f t="shared" si="49"/>
        <v>3167.0352000000003</v>
      </c>
      <c r="N93" s="188">
        <f t="shared" si="49"/>
        <v>1759.4639999999999</v>
      </c>
      <c r="O93" s="188">
        <f t="shared" si="49"/>
        <v>351.89279999999997</v>
      </c>
      <c r="P93" s="215">
        <f t="shared" si="49"/>
        <v>3518.9279999999999</v>
      </c>
    </row>
    <row r="94" spans="1:16">
      <c r="A94" s="31" t="s">
        <v>26</v>
      </c>
      <c r="B94" s="31" t="s">
        <v>34</v>
      </c>
      <c r="C94" s="198">
        <f>+C$7*8.74*2*1.02*12*0.67</f>
        <v>143.34998400000001</v>
      </c>
      <c r="D94" s="195">
        <f>+D$7*8.74*2*1.02*12</f>
        <v>213.95519999999999</v>
      </c>
      <c r="E94" s="195">
        <f t="shared" ref="E94:F94" si="50">+E$7*8.74*2*1.02*12</f>
        <v>106.9776</v>
      </c>
      <c r="F94" s="195">
        <f t="shared" si="50"/>
        <v>213.95519999999999</v>
      </c>
      <c r="G94" s="208">
        <f t="shared" ref="G94:P94" si="51">+G$7*8.74*2*1.02*12*0.67</f>
        <v>64.507492800000009</v>
      </c>
      <c r="H94" s="208">
        <f t="shared" si="51"/>
        <v>28.669996800000007</v>
      </c>
      <c r="I94" s="208">
        <f t="shared" si="51"/>
        <v>50.172494400000005</v>
      </c>
      <c r="J94" s="182">
        <f t="shared" si="51"/>
        <v>143.34998400000001</v>
      </c>
      <c r="K94" s="182">
        <f t="shared" si="51"/>
        <v>0</v>
      </c>
      <c r="L94" s="182">
        <f t="shared" si="51"/>
        <v>143.34998400000001</v>
      </c>
      <c r="M94" s="188">
        <f t="shared" si="51"/>
        <v>129.01498560000002</v>
      </c>
      <c r="N94" s="188">
        <f t="shared" si="51"/>
        <v>71.674992000000003</v>
      </c>
      <c r="O94" s="188">
        <f t="shared" si="51"/>
        <v>14.334998400000003</v>
      </c>
      <c r="P94" s="215">
        <f t="shared" si="51"/>
        <v>143.34998400000001</v>
      </c>
    </row>
    <row r="95" spans="1:16">
      <c r="A95" s="31" t="s">
        <v>28</v>
      </c>
      <c r="B95" s="31" t="s">
        <v>27</v>
      </c>
      <c r="C95" s="198">
        <f t="shared" ref="C95:P95" si="52">(+C$88-C$84+C$80)*0.062</f>
        <v>4509.609619684079</v>
      </c>
      <c r="D95" s="195">
        <f t="shared" si="52"/>
        <v>3452.098</v>
      </c>
      <c r="E95" s="195">
        <f t="shared" si="52"/>
        <v>1674.8248727257253</v>
      </c>
      <c r="F95" s="195">
        <f t="shared" si="52"/>
        <v>2925.098</v>
      </c>
      <c r="G95" s="208">
        <f t="shared" si="52"/>
        <v>1341.4022672490003</v>
      </c>
      <c r="H95" s="208">
        <f t="shared" si="52"/>
        <v>578.81435480000005</v>
      </c>
      <c r="I95" s="208">
        <f t="shared" si="52"/>
        <v>1012.9251209</v>
      </c>
      <c r="J95" s="182">
        <f t="shared" si="52"/>
        <v>3252.0859999999998</v>
      </c>
      <c r="K95" s="182">
        <f t="shared" si="52"/>
        <v>0</v>
      </c>
      <c r="L95" s="182">
        <f t="shared" si="52"/>
        <v>3252.0859999999998</v>
      </c>
      <c r="M95" s="188">
        <f t="shared" si="52"/>
        <v>2330.7700773060005</v>
      </c>
      <c r="N95" s="188">
        <f t="shared" si="52"/>
        <v>1236.0413000000001</v>
      </c>
      <c r="O95" s="188">
        <f t="shared" si="52"/>
        <v>247.20826000000002</v>
      </c>
      <c r="P95" s="215">
        <f t="shared" si="52"/>
        <v>3446.0662358339086</v>
      </c>
    </row>
    <row r="96" spans="1:16">
      <c r="A96" s="31" t="s">
        <v>30</v>
      </c>
      <c r="B96" s="31" t="s">
        <v>29</v>
      </c>
      <c r="C96" s="198">
        <f t="shared" ref="C96:P96" si="53">(+C$88-C$84+C$80)*0.0145</f>
        <v>1054.6667658938572</v>
      </c>
      <c r="D96" s="195">
        <f t="shared" si="53"/>
        <v>807.34550000000002</v>
      </c>
      <c r="E96" s="195">
        <f t="shared" si="53"/>
        <v>391.69291378262932</v>
      </c>
      <c r="F96" s="195">
        <f t="shared" si="53"/>
        <v>684.09550000000002</v>
      </c>
      <c r="G96" s="208">
        <f t="shared" si="53"/>
        <v>313.71504637275007</v>
      </c>
      <c r="H96" s="208">
        <f t="shared" si="53"/>
        <v>135.36787330000001</v>
      </c>
      <c r="I96" s="208">
        <f t="shared" si="53"/>
        <v>236.89377827500002</v>
      </c>
      <c r="J96" s="182">
        <f t="shared" si="53"/>
        <v>760.56850000000009</v>
      </c>
      <c r="K96" s="182">
        <f t="shared" si="53"/>
        <v>0</v>
      </c>
      <c r="L96" s="182">
        <f t="shared" si="53"/>
        <v>760.56850000000009</v>
      </c>
      <c r="M96" s="188">
        <f t="shared" si="53"/>
        <v>545.09945356350011</v>
      </c>
      <c r="N96" s="188">
        <f t="shared" si="53"/>
        <v>289.07417500000003</v>
      </c>
      <c r="O96" s="188">
        <f t="shared" si="53"/>
        <v>57.814835000000009</v>
      </c>
      <c r="P96" s="215">
        <f t="shared" si="53"/>
        <v>805.93484547728519</v>
      </c>
    </row>
    <row r="97" spans="1:17">
      <c r="A97" s="31" t="s">
        <v>31</v>
      </c>
      <c r="B97" s="31" t="s">
        <v>32</v>
      </c>
      <c r="C97" s="198">
        <f>(+C$88-C$84+C$80)*0.06*0.65</f>
        <v>2836.68992205934</v>
      </c>
      <c r="D97" s="195">
        <f>(+D$88-D$84+D$80)*0.06</f>
        <v>3340.74</v>
      </c>
      <c r="E97" s="195">
        <f t="shared" ref="E97:F97" si="54">(+E$88-E$84+E$80)*0.06</f>
        <v>1620.7982639281213</v>
      </c>
      <c r="F97" s="195">
        <f t="shared" si="54"/>
        <v>2830.74</v>
      </c>
      <c r="G97" s="208">
        <f t="shared" ref="G97:P97" si="55">(+G$88-G$84+G$80)*0.06*0.65</f>
        <v>843.78529714050012</v>
      </c>
      <c r="H97" s="208">
        <f t="shared" si="55"/>
        <v>364.09290060000001</v>
      </c>
      <c r="I97" s="208">
        <f t="shared" si="55"/>
        <v>637.16257604999998</v>
      </c>
      <c r="J97" s="182">
        <f t="shared" si="55"/>
        <v>2045.6669999999999</v>
      </c>
      <c r="K97" s="182">
        <f t="shared" si="55"/>
        <v>0</v>
      </c>
      <c r="L97" s="182">
        <f t="shared" si="55"/>
        <v>2045.6669999999999</v>
      </c>
      <c r="M97" s="188">
        <f t="shared" si="55"/>
        <v>1466.1295647570003</v>
      </c>
      <c r="N97" s="188">
        <f t="shared" si="55"/>
        <v>777.50985000000014</v>
      </c>
      <c r="O97" s="188">
        <f t="shared" si="55"/>
        <v>155.50197000000003</v>
      </c>
      <c r="P97" s="215">
        <f t="shared" si="55"/>
        <v>2167.686825766491</v>
      </c>
    </row>
    <row r="98" spans="1:17">
      <c r="A98" s="31" t="s">
        <v>36</v>
      </c>
      <c r="B98" s="31" t="s">
        <v>35</v>
      </c>
      <c r="C98" s="198">
        <f t="shared" ref="C98:P98" si="56">(+C$88-C$84+C$80)*0.0056</f>
        <v>407.31957855211039</v>
      </c>
      <c r="D98" s="195">
        <f t="shared" si="56"/>
        <v>311.80239999999998</v>
      </c>
      <c r="E98" s="195">
        <f t="shared" si="56"/>
        <v>151.27450463329131</v>
      </c>
      <c r="F98" s="195">
        <f t="shared" si="56"/>
        <v>264.20240000000001</v>
      </c>
      <c r="G98" s="208">
        <f t="shared" si="56"/>
        <v>121.15891446120001</v>
      </c>
      <c r="H98" s="208">
        <f t="shared" si="56"/>
        <v>52.280006240000006</v>
      </c>
      <c r="I98" s="208">
        <f t="shared" si="56"/>
        <v>91.490010920000003</v>
      </c>
      <c r="J98" s="182">
        <f t="shared" si="56"/>
        <v>293.73680000000002</v>
      </c>
      <c r="K98" s="182">
        <f t="shared" si="56"/>
        <v>0</v>
      </c>
      <c r="L98" s="182">
        <f t="shared" si="56"/>
        <v>293.73680000000002</v>
      </c>
      <c r="M98" s="188">
        <f t="shared" si="56"/>
        <v>210.52116827280003</v>
      </c>
      <c r="N98" s="188">
        <f t="shared" si="56"/>
        <v>111.64244000000001</v>
      </c>
      <c r="O98" s="188">
        <f t="shared" si="56"/>
        <v>22.328488000000004</v>
      </c>
      <c r="P98" s="215">
        <f t="shared" si="56"/>
        <v>311.25759549467563</v>
      </c>
    </row>
    <row r="99" spans="1:17">
      <c r="A99" s="31" t="s">
        <v>38</v>
      </c>
      <c r="B99" s="31" t="s">
        <v>37</v>
      </c>
      <c r="C99" s="198">
        <f t="shared" ref="C99:P99" si="57">+C$7*7700*0.0201</f>
        <v>154.77000000000001</v>
      </c>
      <c r="D99" s="195">
        <f t="shared" si="57"/>
        <v>154.77000000000001</v>
      </c>
      <c r="E99" s="195">
        <f t="shared" si="57"/>
        <v>77.385000000000005</v>
      </c>
      <c r="F99" s="195">
        <f t="shared" si="57"/>
        <v>154.77000000000001</v>
      </c>
      <c r="G99" s="208">
        <f t="shared" si="57"/>
        <v>69.646500000000003</v>
      </c>
      <c r="H99" s="208">
        <f t="shared" si="57"/>
        <v>30.954000000000001</v>
      </c>
      <c r="I99" s="208">
        <f t="shared" si="57"/>
        <v>54.169499999999999</v>
      </c>
      <c r="J99" s="182">
        <f t="shared" si="57"/>
        <v>154.77000000000001</v>
      </c>
      <c r="K99" s="182">
        <f t="shared" si="57"/>
        <v>0</v>
      </c>
      <c r="L99" s="182">
        <f t="shared" si="57"/>
        <v>154.77000000000001</v>
      </c>
      <c r="M99" s="188">
        <f t="shared" si="57"/>
        <v>139.29300000000001</v>
      </c>
      <c r="N99" s="188">
        <f t="shared" si="57"/>
        <v>77.385000000000005</v>
      </c>
      <c r="O99" s="188">
        <f t="shared" si="57"/>
        <v>15.477</v>
      </c>
      <c r="P99" s="215">
        <f t="shared" si="57"/>
        <v>154.77000000000001</v>
      </c>
    </row>
    <row r="100" spans="1:17">
      <c r="A100" s="31" t="s">
        <v>83</v>
      </c>
      <c r="B100" s="31" t="s">
        <v>84</v>
      </c>
      <c r="C100" s="198"/>
      <c r="D100" s="195"/>
      <c r="E100" s="195"/>
      <c r="F100" s="195"/>
      <c r="G100" s="208"/>
      <c r="H100" s="208"/>
      <c r="I100" s="208"/>
      <c r="J100" s="182"/>
      <c r="K100" s="182"/>
      <c r="L100" s="182"/>
      <c r="M100" s="188"/>
      <c r="N100" s="188"/>
      <c r="O100" s="188"/>
      <c r="P100" s="215">
        <v>2000</v>
      </c>
      <c r="Q100" s="10"/>
    </row>
    <row r="101" spans="1:17">
      <c r="A101" s="31" t="s">
        <v>39</v>
      </c>
      <c r="B101" s="31" t="s">
        <v>40</v>
      </c>
      <c r="C101" s="203">
        <f t="shared" ref="C101:P101" si="58">(+C$88-C$84+C$80)*(0.0024+0.0036+0.0013)</f>
        <v>530.97016489828673</v>
      </c>
      <c r="D101" s="196">
        <f t="shared" si="58"/>
        <v>406.45670000000001</v>
      </c>
      <c r="E101" s="196">
        <f t="shared" si="58"/>
        <v>197.19712211125477</v>
      </c>
      <c r="F101" s="196">
        <f t="shared" si="58"/>
        <v>344.4067</v>
      </c>
      <c r="G101" s="89">
        <f t="shared" si="58"/>
        <v>157.93929920835004</v>
      </c>
      <c r="H101" s="89">
        <f t="shared" si="58"/>
        <v>68.150722420000008</v>
      </c>
      <c r="I101" s="89">
        <f t="shared" si="58"/>
        <v>119.263764235</v>
      </c>
      <c r="J101" s="183">
        <f t="shared" si="58"/>
        <v>382.90690000000001</v>
      </c>
      <c r="K101" s="183">
        <f t="shared" si="58"/>
        <v>0</v>
      </c>
      <c r="L101" s="183">
        <f t="shared" si="58"/>
        <v>382.90690000000001</v>
      </c>
      <c r="M101" s="189">
        <f t="shared" si="58"/>
        <v>274.42938006990005</v>
      </c>
      <c r="N101" s="189">
        <f t="shared" si="58"/>
        <v>145.533895</v>
      </c>
      <c r="O101" s="189">
        <f t="shared" si="58"/>
        <v>29.106779000000003</v>
      </c>
      <c r="P101" s="216">
        <f t="shared" si="58"/>
        <v>405.74650841270216</v>
      </c>
    </row>
    <row r="102" spans="1:17">
      <c r="B102" s="31" t="s">
        <v>234</v>
      </c>
      <c r="C102" s="198">
        <f>SUM(C93:C101)</f>
        <v>13156.304035087674</v>
      </c>
      <c r="D102" s="195">
        <f t="shared" ref="D102:P102" si="59">SUM(D93:D101)</f>
        <v>12206.095800000001</v>
      </c>
      <c r="E102" s="195">
        <f t="shared" ref="E102" si="60">SUM(E93:E101)</f>
        <v>5979.614277181021</v>
      </c>
      <c r="F102" s="195">
        <f t="shared" ref="F102" si="61">SUM(F93:F101)</f>
        <v>10936.1958</v>
      </c>
      <c r="G102" s="208">
        <f t="shared" si="59"/>
        <v>4495.6724172318009</v>
      </c>
      <c r="H102" s="208">
        <f t="shared" ref="H102" si="62">SUM(H93:H101)</f>
        <v>1962.1154541599999</v>
      </c>
      <c r="I102" s="208">
        <f t="shared" ref="I102" si="63">SUM(I93:I101)</f>
        <v>3433.7020447799996</v>
      </c>
      <c r="J102" s="182">
        <f t="shared" si="59"/>
        <v>10552.013184000001</v>
      </c>
      <c r="K102" s="182">
        <f t="shared" ref="K102:L102" si="64">SUM(K93:K101)</f>
        <v>0</v>
      </c>
      <c r="L102" s="182">
        <f t="shared" si="64"/>
        <v>10552.013184000001</v>
      </c>
      <c r="M102" s="188">
        <f t="shared" si="59"/>
        <v>8262.2928295692018</v>
      </c>
      <c r="N102" s="188">
        <f t="shared" ref="N102:O102" si="65">SUM(N93:N101)</f>
        <v>4468.3256519999995</v>
      </c>
      <c r="O102" s="188">
        <f t="shared" si="65"/>
        <v>893.66513039999995</v>
      </c>
      <c r="P102" s="215">
        <f t="shared" si="59"/>
        <v>12953.739994985062</v>
      </c>
    </row>
    <row r="103" spans="1:17">
      <c r="C103" s="198"/>
      <c r="D103" s="195"/>
      <c r="E103" s="195"/>
      <c r="F103" s="195"/>
      <c r="G103" s="208"/>
      <c r="H103" s="208"/>
      <c r="I103" s="208"/>
      <c r="J103" s="182"/>
      <c r="K103" s="182"/>
      <c r="L103" s="182"/>
      <c r="M103" s="188"/>
      <c r="N103" s="188"/>
      <c r="O103" s="188"/>
      <c r="P103" s="215"/>
    </row>
    <row r="104" spans="1:17" s="4" customFormat="1">
      <c r="A104" s="35"/>
      <c r="B104" s="35" t="s">
        <v>235</v>
      </c>
      <c r="C104" s="106">
        <f>SUM(C90+C102)</f>
        <v>85891.94306225024</v>
      </c>
      <c r="D104" s="197">
        <f t="shared" ref="D104:P104" si="66">SUM(D90+D102)</f>
        <v>67885.095799999996</v>
      </c>
      <c r="E104" s="197">
        <f t="shared" ref="E104" si="67">SUM(E90+E102)</f>
        <v>32992.918675983041</v>
      </c>
      <c r="F104" s="197">
        <f t="shared" ref="F104" si="68">SUM(F90+F102)</f>
        <v>58115.195800000001</v>
      </c>
      <c r="G104" s="112">
        <f t="shared" si="66"/>
        <v>26131.192856731803</v>
      </c>
      <c r="H104" s="112">
        <f t="shared" ref="H104" si="69">SUM(H90+H102)</f>
        <v>11297.830854160002</v>
      </c>
      <c r="I104" s="112">
        <f t="shared" ref="I104" si="70">SUM(I90+I102)</f>
        <v>19771.20399478</v>
      </c>
      <c r="J104" s="184">
        <f t="shared" si="66"/>
        <v>63005.013184000003</v>
      </c>
      <c r="K104" s="184">
        <f t="shared" ref="K104:L104" si="71">SUM(K90+K102)</f>
        <v>0</v>
      </c>
      <c r="L104" s="184">
        <f t="shared" si="71"/>
        <v>63005.013184000003</v>
      </c>
      <c r="M104" s="190">
        <f t="shared" si="66"/>
        <v>45855.35859256921</v>
      </c>
      <c r="N104" s="190">
        <f t="shared" ref="N104:O104" si="72">SUM(N90+N102)</f>
        <v>24404.475652000001</v>
      </c>
      <c r="O104" s="190">
        <f t="shared" si="72"/>
        <v>4880.8951304000002</v>
      </c>
      <c r="P104" s="217">
        <f t="shared" si="66"/>
        <v>68535.453476177136</v>
      </c>
    </row>
    <row r="105" spans="1:17">
      <c r="C105" s="198"/>
      <c r="D105" s="195"/>
      <c r="E105" s="195"/>
      <c r="F105" s="195"/>
      <c r="G105" s="208"/>
      <c r="H105" s="208"/>
      <c r="I105" s="208"/>
      <c r="J105" s="182"/>
      <c r="K105" s="182"/>
      <c r="L105" s="182"/>
      <c r="M105" s="188"/>
      <c r="N105" s="188"/>
      <c r="O105" s="188"/>
      <c r="P105" s="215"/>
    </row>
    <row r="106" spans="1:17">
      <c r="A106" s="31" t="s">
        <v>236</v>
      </c>
      <c r="C106" s="198"/>
      <c r="D106" s="195"/>
      <c r="E106" s="195"/>
      <c r="F106" s="195"/>
      <c r="G106" s="208"/>
      <c r="H106" s="208"/>
      <c r="I106" s="208"/>
      <c r="J106" s="182"/>
      <c r="K106" s="182"/>
      <c r="L106" s="182"/>
      <c r="M106" s="188"/>
      <c r="N106" s="188"/>
      <c r="O106" s="188"/>
      <c r="P106" s="215"/>
    </row>
    <row r="107" spans="1:17">
      <c r="A107" s="31" t="s">
        <v>237</v>
      </c>
      <c r="C107" s="198"/>
      <c r="D107" s="195"/>
      <c r="E107" s="195"/>
      <c r="F107" s="195"/>
      <c r="G107" s="208"/>
      <c r="H107" s="208"/>
      <c r="I107" s="208"/>
      <c r="J107" s="182"/>
      <c r="K107" s="182"/>
      <c r="L107" s="182"/>
      <c r="M107" s="188"/>
      <c r="N107" s="188"/>
      <c r="O107" s="188"/>
      <c r="P107" s="215"/>
    </row>
    <row r="108" spans="1:17">
      <c r="A108" s="31" t="s">
        <v>51</v>
      </c>
      <c r="B108" s="31" t="s">
        <v>50</v>
      </c>
      <c r="C108" s="198"/>
      <c r="D108" s="195"/>
      <c r="E108" s="195"/>
      <c r="F108" s="195"/>
      <c r="G108" s="208"/>
      <c r="H108" s="208"/>
      <c r="I108" s="208"/>
      <c r="J108" s="182"/>
      <c r="K108" s="182"/>
      <c r="L108" s="182"/>
      <c r="M108" s="188"/>
      <c r="N108" s="188"/>
      <c r="O108" s="188"/>
      <c r="P108" s="215"/>
    </row>
    <row r="109" spans="1:17">
      <c r="A109" s="31" t="s">
        <v>41</v>
      </c>
      <c r="B109" s="31" t="s">
        <v>42</v>
      </c>
      <c r="C109" s="198"/>
      <c r="D109" s="195"/>
      <c r="E109" s="195"/>
      <c r="F109" s="195"/>
      <c r="G109" s="208">
        <v>37800</v>
      </c>
      <c r="H109" s="208">
        <v>16800</v>
      </c>
      <c r="I109" s="208">
        <v>29400</v>
      </c>
      <c r="J109" s="182"/>
      <c r="K109" s="182"/>
      <c r="L109" s="182"/>
      <c r="M109" s="188">
        <v>2200</v>
      </c>
      <c r="N109" s="188">
        <v>2200</v>
      </c>
      <c r="O109" s="188">
        <v>2200</v>
      </c>
      <c r="P109" s="215">
        <v>1200</v>
      </c>
    </row>
    <row r="110" spans="1:17">
      <c r="A110" s="31" t="s">
        <v>43</v>
      </c>
      <c r="B110" s="31" t="s">
        <v>238</v>
      </c>
      <c r="C110" s="198"/>
      <c r="D110" s="195"/>
      <c r="E110" s="195"/>
      <c r="F110" s="195"/>
      <c r="G110" s="208"/>
      <c r="H110" s="208"/>
      <c r="I110" s="208"/>
      <c r="J110" s="182"/>
      <c r="K110" s="182"/>
      <c r="L110" s="182"/>
      <c r="M110" s="188"/>
      <c r="N110" s="188"/>
      <c r="O110" s="188"/>
      <c r="P110" s="215">
        <v>1500</v>
      </c>
    </row>
    <row r="111" spans="1:17">
      <c r="A111" s="31" t="s">
        <v>44</v>
      </c>
      <c r="B111" s="31" t="s">
        <v>45</v>
      </c>
      <c r="C111" s="198"/>
      <c r="D111" s="195"/>
      <c r="E111" s="195"/>
      <c r="F111" s="195"/>
      <c r="G111" s="208"/>
      <c r="H111" s="208"/>
      <c r="I111" s="208"/>
      <c r="J111" s="182"/>
      <c r="K111" s="182"/>
      <c r="L111" s="182"/>
      <c r="M111" s="188">
        <f t="shared" ref="M111:P111" si="73">1200*M7</f>
        <v>1080</v>
      </c>
      <c r="N111" s="188">
        <f t="shared" ref="N111" si="74">1200*N7</f>
        <v>600</v>
      </c>
      <c r="O111" s="188">
        <f>1200*0</f>
        <v>0</v>
      </c>
      <c r="P111" s="215">
        <f t="shared" si="73"/>
        <v>1200</v>
      </c>
    </row>
    <row r="112" spans="1:17">
      <c r="A112" s="31" t="s">
        <v>46</v>
      </c>
      <c r="B112" s="31" t="s">
        <v>239</v>
      </c>
      <c r="C112" s="198"/>
      <c r="D112" s="195"/>
      <c r="E112" s="195"/>
      <c r="F112" s="195"/>
      <c r="G112" s="208"/>
      <c r="H112" s="208"/>
      <c r="I112" s="208"/>
      <c r="J112" s="182"/>
      <c r="K112" s="182"/>
      <c r="L112" s="182"/>
      <c r="M112" s="188"/>
      <c r="N112" s="188"/>
      <c r="O112" s="188"/>
      <c r="P112" s="215"/>
    </row>
    <row r="113" spans="1:16">
      <c r="A113" s="31" t="s">
        <v>47</v>
      </c>
      <c r="B113" s="31" t="s">
        <v>240</v>
      </c>
      <c r="C113" s="198"/>
      <c r="D113" s="195"/>
      <c r="E113" s="195"/>
      <c r="F113" s="195"/>
      <c r="G113" s="208"/>
      <c r="H113" s="208"/>
      <c r="I113" s="208"/>
      <c r="J113" s="182"/>
      <c r="K113" s="182"/>
      <c r="L113" s="182"/>
      <c r="M113" s="188"/>
      <c r="N113" s="188"/>
      <c r="O113" s="188"/>
      <c r="P113" s="215"/>
    </row>
    <row r="114" spans="1:16">
      <c r="A114" s="31" t="s">
        <v>48</v>
      </c>
      <c r="B114" s="31" t="s">
        <v>49</v>
      </c>
      <c r="C114" s="198"/>
      <c r="D114" s="195"/>
      <c r="E114" s="195"/>
      <c r="F114" s="195"/>
      <c r="G114" s="208"/>
      <c r="H114" s="208"/>
      <c r="I114" s="208"/>
      <c r="J114" s="182"/>
      <c r="K114" s="182"/>
      <c r="L114" s="182"/>
      <c r="M114" s="188"/>
      <c r="N114" s="188"/>
      <c r="O114" s="188"/>
      <c r="P114" s="215"/>
    </row>
    <row r="115" spans="1:16">
      <c r="A115" s="31" t="s">
        <v>82</v>
      </c>
      <c r="B115" s="31" t="s">
        <v>166</v>
      </c>
      <c r="C115" s="198"/>
      <c r="D115" s="195"/>
      <c r="E115" s="195"/>
      <c r="F115" s="195"/>
      <c r="G115" s="208"/>
      <c r="H115" s="208"/>
      <c r="I115" s="208"/>
      <c r="J115" s="182"/>
      <c r="K115" s="182"/>
      <c r="L115" s="182"/>
      <c r="M115" s="188"/>
      <c r="N115" s="188"/>
      <c r="O115" s="188"/>
      <c r="P115" s="215"/>
    </row>
    <row r="116" spans="1:16">
      <c r="A116" s="31" t="s">
        <v>104</v>
      </c>
      <c r="B116" s="31" t="s">
        <v>103</v>
      </c>
      <c r="C116" s="198"/>
      <c r="D116" s="195"/>
      <c r="E116" s="195"/>
      <c r="F116" s="195"/>
      <c r="G116" s="208"/>
      <c r="H116" s="208"/>
      <c r="I116" s="208"/>
      <c r="J116" s="182"/>
      <c r="K116" s="182"/>
      <c r="L116" s="182"/>
      <c r="M116" s="188"/>
      <c r="N116" s="188"/>
      <c r="O116" s="188"/>
      <c r="P116" s="215"/>
    </row>
    <row r="117" spans="1:16">
      <c r="A117" s="31" t="s">
        <v>59</v>
      </c>
      <c r="B117" s="31" t="s">
        <v>318</v>
      </c>
      <c r="C117" s="198"/>
      <c r="D117" s="195"/>
      <c r="E117" s="195"/>
      <c r="F117" s="195"/>
      <c r="G117" s="208"/>
      <c r="H117" s="208"/>
      <c r="I117" s="208"/>
      <c r="J117" s="182"/>
      <c r="K117" s="182"/>
      <c r="L117" s="182"/>
      <c r="M117" s="188"/>
      <c r="N117" s="188"/>
      <c r="O117" s="188"/>
      <c r="P117" s="215"/>
    </row>
    <row r="118" spans="1:16">
      <c r="A118" s="31" t="s">
        <v>87</v>
      </c>
      <c r="B118" s="31" t="s">
        <v>88</v>
      </c>
      <c r="C118" s="198"/>
      <c r="D118" s="195"/>
      <c r="E118" s="195"/>
      <c r="F118" s="195"/>
      <c r="G118" s="208"/>
      <c r="H118" s="208"/>
      <c r="I118" s="208"/>
      <c r="J118" s="182"/>
      <c r="K118" s="182"/>
      <c r="L118" s="182"/>
      <c r="M118" s="188"/>
      <c r="N118" s="188"/>
      <c r="O118" s="188"/>
      <c r="P118" s="215"/>
    </row>
    <row r="119" spans="1:16">
      <c r="A119" s="31" t="s">
        <v>89</v>
      </c>
      <c r="B119" s="31" t="s">
        <v>90</v>
      </c>
      <c r="C119" s="198"/>
      <c r="D119" s="195"/>
      <c r="E119" s="195"/>
      <c r="F119" s="195"/>
      <c r="G119" s="208"/>
      <c r="H119" s="208"/>
      <c r="I119" s="208"/>
      <c r="J119" s="182"/>
      <c r="K119" s="182"/>
      <c r="L119" s="182"/>
      <c r="M119" s="188"/>
      <c r="N119" s="188"/>
      <c r="O119" s="188"/>
      <c r="P119" s="215"/>
    </row>
    <row r="120" spans="1:16">
      <c r="A120" s="31" t="s">
        <v>413</v>
      </c>
      <c r="B120" s="31" t="s">
        <v>414</v>
      </c>
      <c r="C120" s="198"/>
      <c r="D120" s="195"/>
      <c r="E120" s="195"/>
      <c r="F120" s="195"/>
      <c r="G120" s="208"/>
      <c r="H120" s="208"/>
      <c r="I120" s="208"/>
      <c r="J120" s="182"/>
      <c r="K120" s="182"/>
      <c r="L120" s="182"/>
      <c r="M120" s="188"/>
      <c r="N120" s="188"/>
      <c r="O120" s="188"/>
      <c r="P120" s="215"/>
    </row>
    <row r="121" spans="1:16">
      <c r="A121" s="31" t="s">
        <v>52</v>
      </c>
      <c r="B121" s="31" t="s">
        <v>53</v>
      </c>
      <c r="C121" s="203"/>
      <c r="D121" s="196"/>
      <c r="E121" s="196"/>
      <c r="F121" s="196"/>
      <c r="G121" s="89"/>
      <c r="H121" s="89"/>
      <c r="I121" s="89"/>
      <c r="J121" s="183"/>
      <c r="K121" s="183"/>
      <c r="L121" s="183"/>
      <c r="M121" s="189"/>
      <c r="N121" s="189"/>
      <c r="O121" s="189"/>
      <c r="P121" s="216"/>
    </row>
    <row r="122" spans="1:16">
      <c r="B122" s="31" t="s">
        <v>241</v>
      </c>
      <c r="C122" s="198">
        <f>SUM(C108:C121)</f>
        <v>0</v>
      </c>
      <c r="D122" s="195">
        <f t="shared" ref="D122:P122" si="75">SUM(D108:D121)</f>
        <v>0</v>
      </c>
      <c r="E122" s="195">
        <f t="shared" ref="E122" si="76">SUM(E108:E121)</f>
        <v>0</v>
      </c>
      <c r="F122" s="195">
        <f t="shared" ref="F122" si="77">SUM(F108:F121)</f>
        <v>0</v>
      </c>
      <c r="G122" s="208">
        <f t="shared" si="75"/>
        <v>37800</v>
      </c>
      <c r="H122" s="208">
        <f t="shared" ref="H122" si="78">SUM(H108:H121)</f>
        <v>16800</v>
      </c>
      <c r="I122" s="208">
        <f t="shared" ref="I122" si="79">SUM(I108:I121)</f>
        <v>29400</v>
      </c>
      <c r="J122" s="182">
        <f t="shared" si="75"/>
        <v>0</v>
      </c>
      <c r="K122" s="182">
        <f t="shared" ref="K122:L122" si="80">SUM(K108:K121)</f>
        <v>0</v>
      </c>
      <c r="L122" s="182">
        <f t="shared" si="80"/>
        <v>0</v>
      </c>
      <c r="M122" s="188">
        <f t="shared" si="75"/>
        <v>3280</v>
      </c>
      <c r="N122" s="188">
        <f t="shared" ref="N122:O122" si="81">SUM(N108:N121)</f>
        <v>2800</v>
      </c>
      <c r="O122" s="188">
        <f t="shared" si="81"/>
        <v>2200</v>
      </c>
      <c r="P122" s="215">
        <f t="shared" si="75"/>
        <v>3900</v>
      </c>
    </row>
    <row r="123" spans="1:16">
      <c r="C123" s="198"/>
      <c r="D123" s="195"/>
      <c r="E123" s="195"/>
      <c r="F123" s="195"/>
      <c r="G123" s="208"/>
      <c r="H123" s="208"/>
      <c r="I123" s="208"/>
      <c r="J123" s="182"/>
      <c r="K123" s="182"/>
      <c r="L123" s="182"/>
      <c r="M123" s="188"/>
      <c r="N123" s="188"/>
      <c r="O123" s="188"/>
      <c r="P123" s="215"/>
    </row>
    <row r="124" spans="1:16">
      <c r="A124" s="31" t="s">
        <v>242</v>
      </c>
      <c r="C124" s="198"/>
      <c r="D124" s="195"/>
      <c r="E124" s="195"/>
      <c r="F124" s="195"/>
      <c r="G124" s="208"/>
      <c r="H124" s="208"/>
      <c r="I124" s="208"/>
      <c r="J124" s="182"/>
      <c r="K124" s="182"/>
      <c r="L124" s="182"/>
      <c r="M124" s="188"/>
      <c r="N124" s="188"/>
      <c r="O124" s="188"/>
      <c r="P124" s="215"/>
    </row>
    <row r="125" spans="1:16">
      <c r="A125" s="31" t="s">
        <v>56</v>
      </c>
      <c r="B125" s="31" t="s">
        <v>245</v>
      </c>
      <c r="C125" s="198"/>
      <c r="D125" s="195"/>
      <c r="E125" s="195"/>
      <c r="F125" s="195"/>
      <c r="G125" s="208"/>
      <c r="H125" s="208"/>
      <c r="I125" s="208"/>
      <c r="J125" s="182"/>
      <c r="K125" s="182"/>
      <c r="L125" s="182"/>
      <c r="M125" s="188"/>
      <c r="N125" s="188"/>
      <c r="O125" s="188"/>
      <c r="P125" s="215"/>
    </row>
    <row r="126" spans="1:16">
      <c r="A126" s="31" t="s">
        <v>57</v>
      </c>
      <c r="B126" s="31" t="s">
        <v>246</v>
      </c>
      <c r="C126" s="198"/>
      <c r="D126" s="195"/>
      <c r="E126" s="195"/>
      <c r="F126" s="195"/>
      <c r="G126" s="208"/>
      <c r="H126" s="208"/>
      <c r="I126" s="208"/>
      <c r="J126" s="182"/>
      <c r="K126" s="182"/>
      <c r="L126" s="182"/>
      <c r="M126" s="188"/>
      <c r="N126" s="188"/>
      <c r="O126" s="188"/>
      <c r="P126" s="215"/>
    </row>
    <row r="127" spans="1:16">
      <c r="A127" s="31" t="s">
        <v>58</v>
      </c>
      <c r="B127" s="31" t="s">
        <v>247</v>
      </c>
      <c r="C127" s="198"/>
      <c r="D127" s="195"/>
      <c r="E127" s="195"/>
      <c r="F127" s="195"/>
      <c r="G127" s="208"/>
      <c r="H127" s="208"/>
      <c r="I127" s="208"/>
      <c r="J127" s="182"/>
      <c r="K127" s="182"/>
      <c r="L127" s="182"/>
      <c r="M127" s="188"/>
      <c r="N127" s="188"/>
      <c r="O127" s="188"/>
      <c r="P127" s="215"/>
    </row>
    <row r="128" spans="1:16">
      <c r="A128" s="31" t="s">
        <v>55</v>
      </c>
      <c r="B128" s="31" t="s">
        <v>244</v>
      </c>
      <c r="C128" s="198"/>
      <c r="D128" s="195"/>
      <c r="E128" s="195"/>
      <c r="F128" s="195"/>
      <c r="G128" s="208"/>
      <c r="H128" s="208"/>
      <c r="I128" s="208"/>
      <c r="J128" s="182"/>
      <c r="K128" s="182"/>
      <c r="L128" s="182"/>
      <c r="M128" s="188"/>
      <c r="N128" s="188"/>
      <c r="O128" s="188"/>
      <c r="P128" s="215"/>
    </row>
    <row r="129" spans="1:16" ht="10.5" customHeight="1">
      <c r="A129" s="31" t="s">
        <v>54</v>
      </c>
      <c r="B129" s="31" t="s">
        <v>243</v>
      </c>
      <c r="C129" s="198"/>
      <c r="D129" s="195"/>
      <c r="E129" s="195"/>
      <c r="F129" s="195"/>
      <c r="G129" s="208"/>
      <c r="H129" s="208"/>
      <c r="I129" s="208"/>
      <c r="J129" s="182"/>
      <c r="K129" s="182"/>
      <c r="L129" s="182"/>
      <c r="M129" s="188"/>
      <c r="N129" s="188"/>
      <c r="O129" s="188"/>
      <c r="P129" s="215"/>
    </row>
    <row r="130" spans="1:16">
      <c r="A130" s="31" t="s">
        <v>60</v>
      </c>
      <c r="B130" s="31" t="s">
        <v>61</v>
      </c>
      <c r="C130" s="198"/>
      <c r="D130" s="195"/>
      <c r="E130" s="195"/>
      <c r="F130" s="195"/>
      <c r="G130" s="208"/>
      <c r="H130" s="208"/>
      <c r="I130" s="208"/>
      <c r="J130" s="182"/>
      <c r="K130" s="182"/>
      <c r="L130" s="182"/>
      <c r="M130" s="188"/>
      <c r="N130" s="188"/>
      <c r="O130" s="188"/>
      <c r="P130" s="215"/>
    </row>
    <row r="131" spans="1:16">
      <c r="A131" s="31" t="s">
        <v>411</v>
      </c>
      <c r="B131" s="31" t="s">
        <v>412</v>
      </c>
      <c r="C131" s="198"/>
      <c r="D131" s="195"/>
      <c r="E131" s="195"/>
      <c r="F131" s="195"/>
      <c r="G131" s="208"/>
      <c r="H131" s="208"/>
      <c r="I131" s="208"/>
      <c r="J131" s="182"/>
      <c r="K131" s="182"/>
      <c r="L131" s="182"/>
      <c r="M131" s="188"/>
      <c r="N131" s="188"/>
      <c r="O131" s="188"/>
      <c r="P131" s="215"/>
    </row>
    <row r="132" spans="1:16">
      <c r="A132" s="31" t="s">
        <v>62</v>
      </c>
      <c r="B132" s="31" t="s">
        <v>248</v>
      </c>
      <c r="C132" s="203"/>
      <c r="D132" s="196"/>
      <c r="E132" s="196"/>
      <c r="F132" s="196"/>
      <c r="G132" s="89"/>
      <c r="H132" s="89"/>
      <c r="I132" s="89"/>
      <c r="J132" s="183"/>
      <c r="K132" s="183"/>
      <c r="L132" s="183"/>
      <c r="M132" s="189"/>
      <c r="N132" s="189"/>
      <c r="O132" s="189"/>
      <c r="P132" s="216"/>
    </row>
    <row r="133" spans="1:16">
      <c r="B133" s="31" t="s">
        <v>249</v>
      </c>
      <c r="C133" s="198">
        <f>SUM(C125:C132)</f>
        <v>0</v>
      </c>
      <c r="D133" s="195">
        <f t="shared" ref="D133:P133" si="82">SUM(D125:D132)</f>
        <v>0</v>
      </c>
      <c r="E133" s="195">
        <f t="shared" ref="E133" si="83">SUM(E125:E132)</f>
        <v>0</v>
      </c>
      <c r="F133" s="195">
        <f t="shared" ref="F133" si="84">SUM(F125:F132)</f>
        <v>0</v>
      </c>
      <c r="G133" s="208">
        <f t="shared" si="82"/>
        <v>0</v>
      </c>
      <c r="H133" s="208">
        <f t="shared" ref="H133" si="85">SUM(H125:H132)</f>
        <v>0</v>
      </c>
      <c r="I133" s="208">
        <f t="shared" ref="I133" si="86">SUM(I125:I132)</f>
        <v>0</v>
      </c>
      <c r="J133" s="182">
        <f t="shared" si="82"/>
        <v>0</v>
      </c>
      <c r="K133" s="182">
        <f t="shared" ref="K133:L133" si="87">SUM(K125:K132)</f>
        <v>0</v>
      </c>
      <c r="L133" s="182">
        <f t="shared" si="87"/>
        <v>0</v>
      </c>
      <c r="M133" s="188">
        <f t="shared" si="82"/>
        <v>0</v>
      </c>
      <c r="N133" s="188">
        <f t="shared" ref="N133:O133" si="88">SUM(N125:N132)</f>
        <v>0</v>
      </c>
      <c r="O133" s="188">
        <f t="shared" si="88"/>
        <v>0</v>
      </c>
      <c r="P133" s="215">
        <f t="shared" si="82"/>
        <v>0</v>
      </c>
    </row>
    <row r="134" spans="1:16">
      <c r="C134" s="198"/>
      <c r="D134" s="195"/>
      <c r="E134" s="195"/>
      <c r="F134" s="195"/>
      <c r="G134" s="208"/>
      <c r="H134" s="208"/>
      <c r="I134" s="208"/>
      <c r="J134" s="182"/>
      <c r="K134" s="182"/>
      <c r="L134" s="182"/>
      <c r="M134" s="188"/>
      <c r="N134" s="188"/>
      <c r="O134" s="188"/>
      <c r="P134" s="215"/>
    </row>
    <row r="135" spans="1:16">
      <c r="A135" s="31" t="s">
        <v>250</v>
      </c>
      <c r="C135" s="198"/>
      <c r="D135" s="195"/>
      <c r="E135" s="195"/>
      <c r="F135" s="195"/>
      <c r="G135" s="208"/>
      <c r="H135" s="208"/>
      <c r="I135" s="208"/>
      <c r="J135" s="182"/>
      <c r="K135" s="182"/>
      <c r="L135" s="182"/>
      <c r="M135" s="188"/>
      <c r="N135" s="188"/>
      <c r="O135" s="188"/>
      <c r="P135" s="215"/>
    </row>
    <row r="136" spans="1:16">
      <c r="A136" s="31" t="s">
        <v>251</v>
      </c>
      <c r="C136" s="198"/>
      <c r="D136" s="195"/>
      <c r="E136" s="195"/>
      <c r="F136" s="195"/>
      <c r="G136" s="208"/>
      <c r="H136" s="208"/>
      <c r="I136" s="208"/>
      <c r="J136" s="182"/>
      <c r="K136" s="182"/>
      <c r="L136" s="182"/>
      <c r="M136" s="188"/>
      <c r="N136" s="188"/>
      <c r="O136" s="188"/>
      <c r="P136" s="215"/>
    </row>
    <row r="137" spans="1:16">
      <c r="A137" s="31" t="s">
        <v>63</v>
      </c>
      <c r="B137" s="31" t="s">
        <v>252</v>
      </c>
      <c r="C137" s="198"/>
      <c r="D137" s="195"/>
      <c r="E137" s="195"/>
      <c r="F137" s="195"/>
      <c r="G137" s="208"/>
      <c r="H137" s="208"/>
      <c r="I137" s="208"/>
      <c r="J137" s="182"/>
      <c r="K137" s="182"/>
      <c r="L137" s="182"/>
      <c r="M137" s="188"/>
      <c r="N137" s="188"/>
      <c r="O137" s="188"/>
      <c r="P137" s="215"/>
    </row>
    <row r="138" spans="1:16">
      <c r="A138" s="31" t="s">
        <v>64</v>
      </c>
      <c r="B138" s="31" t="s">
        <v>253</v>
      </c>
      <c r="C138" s="198"/>
      <c r="D138" s="195"/>
      <c r="E138" s="195"/>
      <c r="F138" s="195"/>
      <c r="G138" s="208"/>
      <c r="H138" s="208"/>
      <c r="I138" s="208"/>
      <c r="J138" s="182"/>
      <c r="K138" s="182"/>
      <c r="L138" s="182"/>
      <c r="M138" s="188"/>
      <c r="N138" s="188"/>
      <c r="O138" s="188"/>
      <c r="P138" s="215"/>
    </row>
    <row r="139" spans="1:16">
      <c r="A139" s="31" t="s">
        <v>417</v>
      </c>
      <c r="B139" s="31" t="s">
        <v>418</v>
      </c>
      <c r="C139" s="198"/>
      <c r="D139" s="195"/>
      <c r="E139" s="195"/>
      <c r="F139" s="195"/>
      <c r="G139" s="208"/>
      <c r="H139" s="208"/>
      <c r="I139" s="208"/>
      <c r="J139" s="182"/>
      <c r="K139" s="182"/>
      <c r="L139" s="182"/>
      <c r="M139" s="188"/>
      <c r="N139" s="188"/>
      <c r="O139" s="188"/>
      <c r="P139" s="215"/>
    </row>
    <row r="140" spans="1:16">
      <c r="A140" s="31" t="s">
        <v>65</v>
      </c>
      <c r="B140" s="31" t="s">
        <v>254</v>
      </c>
      <c r="C140" s="203"/>
      <c r="D140" s="196"/>
      <c r="E140" s="196"/>
      <c r="F140" s="196"/>
      <c r="G140" s="89"/>
      <c r="H140" s="89"/>
      <c r="I140" s="89"/>
      <c r="J140" s="183"/>
      <c r="K140" s="183"/>
      <c r="L140" s="183"/>
      <c r="M140" s="189"/>
      <c r="N140" s="189"/>
      <c r="O140" s="189"/>
      <c r="P140" s="216"/>
    </row>
    <row r="141" spans="1:16">
      <c r="B141" s="31" t="s">
        <v>255</v>
      </c>
      <c r="C141" s="198">
        <f>SUM(C137:C140)</f>
        <v>0</v>
      </c>
      <c r="D141" s="195">
        <f t="shared" ref="D141:P141" si="89">SUM(D137:D140)</f>
        <v>0</v>
      </c>
      <c r="E141" s="195">
        <f t="shared" ref="E141" si="90">SUM(E137:E140)</f>
        <v>0</v>
      </c>
      <c r="F141" s="195">
        <f t="shared" ref="F141" si="91">SUM(F137:F140)</f>
        <v>0</v>
      </c>
      <c r="G141" s="208">
        <f t="shared" si="89"/>
        <v>0</v>
      </c>
      <c r="H141" s="208">
        <f t="shared" ref="H141" si="92">SUM(H137:H140)</f>
        <v>0</v>
      </c>
      <c r="I141" s="208">
        <f t="shared" ref="I141" si="93">SUM(I137:I140)</f>
        <v>0</v>
      </c>
      <c r="J141" s="182">
        <f t="shared" si="89"/>
        <v>0</v>
      </c>
      <c r="K141" s="182">
        <f t="shared" ref="K141:L141" si="94">SUM(K137:K140)</f>
        <v>0</v>
      </c>
      <c r="L141" s="182">
        <f t="shared" si="94"/>
        <v>0</v>
      </c>
      <c r="M141" s="188">
        <f t="shared" si="89"/>
        <v>0</v>
      </c>
      <c r="N141" s="188">
        <f t="shared" ref="N141:O141" si="95">SUM(N137:N140)</f>
        <v>0</v>
      </c>
      <c r="O141" s="188">
        <f t="shared" si="95"/>
        <v>0</v>
      </c>
      <c r="P141" s="215">
        <f t="shared" si="89"/>
        <v>0</v>
      </c>
    </row>
    <row r="142" spans="1:16">
      <c r="C142" s="198"/>
      <c r="D142" s="195"/>
      <c r="E142" s="195"/>
      <c r="F142" s="195"/>
      <c r="G142" s="208"/>
      <c r="H142" s="208"/>
      <c r="I142" s="208"/>
      <c r="J142" s="182"/>
      <c r="K142" s="182"/>
      <c r="L142" s="182"/>
      <c r="M142" s="188"/>
      <c r="N142" s="188"/>
      <c r="O142" s="188"/>
      <c r="P142" s="215"/>
    </row>
    <row r="143" spans="1:16">
      <c r="A143" s="31" t="s">
        <v>256</v>
      </c>
      <c r="C143" s="198"/>
      <c r="D143" s="195"/>
      <c r="E143" s="195"/>
      <c r="F143" s="195"/>
      <c r="G143" s="208"/>
      <c r="H143" s="208"/>
      <c r="I143" s="208"/>
      <c r="J143" s="182"/>
      <c r="K143" s="182"/>
      <c r="L143" s="182"/>
      <c r="M143" s="188"/>
      <c r="N143" s="188"/>
      <c r="O143" s="188"/>
      <c r="P143" s="215"/>
    </row>
    <row r="144" spans="1:16">
      <c r="A144" s="31" t="s">
        <v>66</v>
      </c>
      <c r="B144" s="31" t="s">
        <v>257</v>
      </c>
      <c r="C144" s="198"/>
      <c r="D144" s="195"/>
      <c r="E144" s="195"/>
      <c r="F144" s="195"/>
      <c r="G144" s="208"/>
      <c r="H144" s="208"/>
      <c r="I144" s="208"/>
      <c r="J144" s="182"/>
      <c r="K144" s="182"/>
      <c r="L144" s="182"/>
      <c r="M144" s="188">
        <f>56*12</f>
        <v>672</v>
      </c>
      <c r="N144" s="188">
        <f t="shared" ref="N144" si="96">56*12</f>
        <v>672</v>
      </c>
      <c r="O144" s="188">
        <v>0</v>
      </c>
      <c r="P144" s="215"/>
    </row>
    <row r="145" spans="1:16">
      <c r="A145" s="31" t="s">
        <v>67</v>
      </c>
      <c r="B145" s="31" t="s">
        <v>258</v>
      </c>
      <c r="C145" s="198"/>
      <c r="D145" s="195"/>
      <c r="E145" s="195"/>
      <c r="F145" s="195"/>
      <c r="G145" s="208"/>
      <c r="H145" s="208"/>
      <c r="I145" s="208"/>
      <c r="J145" s="182"/>
      <c r="K145" s="182"/>
      <c r="L145" s="182"/>
      <c r="M145" s="188"/>
      <c r="N145" s="188"/>
      <c r="O145" s="188"/>
      <c r="P145" s="215"/>
    </row>
    <row r="146" spans="1:16">
      <c r="A146" s="31" t="s">
        <v>68</v>
      </c>
      <c r="B146" s="31" t="s">
        <v>259</v>
      </c>
      <c r="C146" s="198"/>
      <c r="D146" s="195">
        <f>55*12*2</f>
        <v>1320</v>
      </c>
      <c r="E146" s="195">
        <f t="shared" ref="E146:F146" si="97">55*12*2</f>
        <v>1320</v>
      </c>
      <c r="F146" s="195">
        <f t="shared" si="97"/>
        <v>1320</v>
      </c>
      <c r="G146" s="208">
        <f>55*12*2</f>
        <v>1320</v>
      </c>
      <c r="H146" s="208">
        <f t="shared" ref="H146:I146" si="98">55*12*2</f>
        <v>1320</v>
      </c>
      <c r="I146" s="208">
        <f t="shared" si="98"/>
        <v>1320</v>
      </c>
      <c r="J146" s="182">
        <f>55*12*2</f>
        <v>1320</v>
      </c>
      <c r="K146" s="182"/>
      <c r="L146" s="182">
        <f t="shared" ref="L146" si="99">55*12*2</f>
        <v>1320</v>
      </c>
      <c r="M146" s="188"/>
      <c r="N146" s="188"/>
      <c r="O146" s="188"/>
      <c r="P146" s="215">
        <v>660</v>
      </c>
    </row>
    <row r="147" spans="1:16">
      <c r="A147" s="31" t="s">
        <v>69</v>
      </c>
      <c r="B147" s="31" t="s">
        <v>260</v>
      </c>
      <c r="C147" s="198"/>
      <c r="D147" s="195"/>
      <c r="E147" s="195"/>
      <c r="F147" s="195"/>
      <c r="G147" s="208"/>
      <c r="H147" s="208"/>
      <c r="I147" s="208"/>
      <c r="J147" s="182"/>
      <c r="K147" s="182"/>
      <c r="L147" s="182"/>
      <c r="M147" s="188"/>
      <c r="N147" s="188"/>
      <c r="O147" s="188"/>
      <c r="P147" s="215"/>
    </row>
    <row r="148" spans="1:16" ht="12" customHeight="1">
      <c r="A148" s="31" t="s">
        <v>70</v>
      </c>
      <c r="B148" s="31" t="s">
        <v>261</v>
      </c>
      <c r="C148" s="198"/>
      <c r="D148" s="195"/>
      <c r="E148" s="195"/>
      <c r="F148" s="195"/>
      <c r="G148" s="208"/>
      <c r="H148" s="208"/>
      <c r="I148" s="208"/>
      <c r="J148" s="182"/>
      <c r="K148" s="182"/>
      <c r="L148" s="182"/>
      <c r="M148" s="188"/>
      <c r="N148" s="188"/>
      <c r="O148" s="188"/>
      <c r="P148" s="215"/>
    </row>
    <row r="149" spans="1:16">
      <c r="A149" s="31" t="s">
        <v>425</v>
      </c>
      <c r="B149" s="31" t="s">
        <v>427</v>
      </c>
      <c r="C149" s="203"/>
      <c r="D149" s="196"/>
      <c r="E149" s="196"/>
      <c r="F149" s="196"/>
      <c r="G149" s="89"/>
      <c r="H149" s="89"/>
      <c r="I149" s="89"/>
      <c r="J149" s="183"/>
      <c r="K149" s="183"/>
      <c r="L149" s="183"/>
      <c r="M149" s="189"/>
      <c r="N149" s="189"/>
      <c r="O149" s="189"/>
      <c r="P149" s="216"/>
    </row>
    <row r="150" spans="1:16">
      <c r="B150" s="31" t="s">
        <v>262</v>
      </c>
      <c r="C150" s="198">
        <f>SUM(C144:C149)</f>
        <v>0</v>
      </c>
      <c r="D150" s="195">
        <f t="shared" ref="D150:P150" si="100">SUM(D144:D149)</f>
        <v>1320</v>
      </c>
      <c r="E150" s="195">
        <f t="shared" ref="E150" si="101">SUM(E144:E149)</f>
        <v>1320</v>
      </c>
      <c r="F150" s="195">
        <f t="shared" ref="F150" si="102">SUM(F144:F149)</f>
        <v>1320</v>
      </c>
      <c r="G150" s="208">
        <f t="shared" si="100"/>
        <v>1320</v>
      </c>
      <c r="H150" s="208">
        <f t="shared" ref="H150" si="103">SUM(H144:H149)</f>
        <v>1320</v>
      </c>
      <c r="I150" s="208">
        <f t="shared" ref="I150" si="104">SUM(I144:I149)</f>
        <v>1320</v>
      </c>
      <c r="J150" s="182">
        <f t="shared" si="100"/>
        <v>1320</v>
      </c>
      <c r="K150" s="182">
        <f t="shared" ref="K150:L150" si="105">SUM(K144:K149)</f>
        <v>0</v>
      </c>
      <c r="L150" s="182">
        <f t="shared" si="105"/>
        <v>1320</v>
      </c>
      <c r="M150" s="188">
        <f t="shared" si="100"/>
        <v>672</v>
      </c>
      <c r="N150" s="188">
        <f t="shared" ref="N150:O150" si="106">SUM(N144:N149)</f>
        <v>672</v>
      </c>
      <c r="O150" s="188">
        <f t="shared" si="106"/>
        <v>0</v>
      </c>
      <c r="P150" s="215">
        <f t="shared" si="100"/>
        <v>660</v>
      </c>
    </row>
    <row r="151" spans="1:16">
      <c r="C151" s="198"/>
      <c r="D151" s="195"/>
      <c r="E151" s="195"/>
      <c r="F151" s="195"/>
      <c r="G151" s="208"/>
      <c r="H151" s="208"/>
      <c r="I151" s="208"/>
      <c r="J151" s="182"/>
      <c r="K151" s="182"/>
      <c r="L151" s="182"/>
      <c r="M151" s="188"/>
      <c r="N151" s="188"/>
      <c r="O151" s="188"/>
      <c r="P151" s="215"/>
    </row>
    <row r="152" spans="1:16">
      <c r="A152" s="31" t="s">
        <v>263</v>
      </c>
      <c r="C152" s="198"/>
      <c r="D152" s="195"/>
      <c r="E152" s="195"/>
      <c r="F152" s="195"/>
      <c r="G152" s="208"/>
      <c r="H152" s="208"/>
      <c r="I152" s="208"/>
      <c r="J152" s="182"/>
      <c r="K152" s="182"/>
      <c r="L152" s="182"/>
      <c r="M152" s="188"/>
      <c r="N152" s="188"/>
      <c r="O152" s="188"/>
      <c r="P152" s="215"/>
    </row>
    <row r="153" spans="1:16">
      <c r="A153" s="31" t="s">
        <v>264</v>
      </c>
      <c r="C153" s="198"/>
      <c r="D153" s="195"/>
      <c r="E153" s="195"/>
      <c r="F153" s="195"/>
      <c r="G153" s="208"/>
      <c r="H153" s="208"/>
      <c r="I153" s="208"/>
      <c r="J153" s="182"/>
      <c r="K153" s="182"/>
      <c r="L153" s="182"/>
      <c r="M153" s="188"/>
      <c r="N153" s="188"/>
      <c r="O153" s="188"/>
      <c r="P153" s="215"/>
    </row>
    <row r="154" spans="1:16">
      <c r="A154" s="31" t="s">
        <v>71</v>
      </c>
      <c r="B154" s="31" t="s">
        <v>72</v>
      </c>
      <c r="C154" s="203">
        <f>1500*C7</f>
        <v>1500</v>
      </c>
      <c r="D154" s="196">
        <v>300</v>
      </c>
      <c r="E154" s="196">
        <v>300</v>
      </c>
      <c r="F154" s="196">
        <v>300</v>
      </c>
      <c r="G154" s="89">
        <v>100</v>
      </c>
      <c r="H154" s="89">
        <v>100</v>
      </c>
      <c r="I154" s="89">
        <v>100</v>
      </c>
      <c r="J154" s="183">
        <v>300</v>
      </c>
      <c r="K154" s="183"/>
      <c r="L154" s="183">
        <v>300</v>
      </c>
      <c r="M154" s="189">
        <f t="shared" ref="M154" si="107">1500*M7</f>
        <v>1350</v>
      </c>
      <c r="N154" s="189">
        <f t="shared" ref="N154" si="108">1500*N7</f>
        <v>750</v>
      </c>
      <c r="O154" s="189">
        <v>0</v>
      </c>
      <c r="P154" s="216">
        <v>2000</v>
      </c>
    </row>
    <row r="155" spans="1:16">
      <c r="B155" s="31" t="s">
        <v>265</v>
      </c>
      <c r="C155" s="198">
        <f>SUM(C154)</f>
        <v>1500</v>
      </c>
      <c r="D155" s="195">
        <f t="shared" ref="D155:P155" si="109">SUM(D154)</f>
        <v>300</v>
      </c>
      <c r="E155" s="195">
        <f t="shared" ref="E155" si="110">SUM(E154)</f>
        <v>300</v>
      </c>
      <c r="F155" s="195">
        <f t="shared" ref="F155" si="111">SUM(F154)</f>
        <v>300</v>
      </c>
      <c r="G155" s="208">
        <f t="shared" si="109"/>
        <v>100</v>
      </c>
      <c r="H155" s="208">
        <f t="shared" ref="H155" si="112">SUM(H154)</f>
        <v>100</v>
      </c>
      <c r="I155" s="208">
        <f t="shared" ref="I155" si="113">SUM(I154)</f>
        <v>100</v>
      </c>
      <c r="J155" s="182">
        <f t="shared" si="109"/>
        <v>300</v>
      </c>
      <c r="K155" s="182">
        <f t="shared" ref="K155:L155" si="114">SUM(K154)</f>
        <v>0</v>
      </c>
      <c r="L155" s="182">
        <f t="shared" si="114"/>
        <v>300</v>
      </c>
      <c r="M155" s="188">
        <f t="shared" si="109"/>
        <v>1350</v>
      </c>
      <c r="N155" s="188">
        <f t="shared" ref="N155:O155" si="115">SUM(N154)</f>
        <v>750</v>
      </c>
      <c r="O155" s="188">
        <f t="shared" si="115"/>
        <v>0</v>
      </c>
      <c r="P155" s="215">
        <f t="shared" si="109"/>
        <v>2000</v>
      </c>
    </row>
    <row r="156" spans="1:16">
      <c r="C156" s="198"/>
      <c r="D156" s="195"/>
      <c r="E156" s="195"/>
      <c r="F156" s="195"/>
      <c r="G156" s="208"/>
      <c r="H156" s="208"/>
      <c r="I156" s="208"/>
      <c r="J156" s="182"/>
      <c r="K156" s="182"/>
      <c r="L156" s="182"/>
      <c r="M156" s="188"/>
      <c r="N156" s="188"/>
      <c r="O156" s="188"/>
      <c r="P156" s="215"/>
    </row>
    <row r="157" spans="1:16">
      <c r="A157" s="31" t="s">
        <v>266</v>
      </c>
      <c r="C157" s="198"/>
      <c r="D157" s="195"/>
      <c r="E157" s="195"/>
      <c r="F157" s="195"/>
      <c r="G157" s="208"/>
      <c r="H157" s="208"/>
      <c r="I157" s="208"/>
      <c r="J157" s="182"/>
      <c r="K157" s="182"/>
      <c r="L157" s="182"/>
      <c r="M157" s="188"/>
      <c r="N157" s="188"/>
      <c r="O157" s="188"/>
      <c r="P157" s="215"/>
    </row>
    <row r="158" spans="1:16">
      <c r="A158" s="31" t="s">
        <v>73</v>
      </c>
      <c r="B158" s="31" t="s">
        <v>74</v>
      </c>
      <c r="C158" s="198">
        <v>6000</v>
      </c>
      <c r="D158" s="195">
        <f>1500*D7</f>
        <v>1500</v>
      </c>
      <c r="E158" s="195">
        <v>400</v>
      </c>
      <c r="F158" s="195">
        <v>1500</v>
      </c>
      <c r="G158" s="208">
        <v>1575</v>
      </c>
      <c r="H158" s="208">
        <v>740</v>
      </c>
      <c r="I158" s="208">
        <v>1295</v>
      </c>
      <c r="J158" s="182">
        <v>1200</v>
      </c>
      <c r="K158" s="182"/>
      <c r="L158" s="182">
        <v>1200</v>
      </c>
      <c r="M158" s="188">
        <f>350+350</f>
        <v>700</v>
      </c>
      <c r="N158" s="188">
        <f t="shared" ref="N158:O158" si="116">350+350</f>
        <v>700</v>
      </c>
      <c r="O158" s="188">
        <f t="shared" si="116"/>
        <v>700</v>
      </c>
      <c r="P158" s="215">
        <v>4500</v>
      </c>
    </row>
    <row r="159" spans="1:16">
      <c r="A159" s="31" t="s">
        <v>75</v>
      </c>
      <c r="B159" s="31" t="s">
        <v>154</v>
      </c>
      <c r="C159" s="198"/>
      <c r="D159" s="195"/>
      <c r="E159" s="195"/>
      <c r="F159" s="195"/>
      <c r="G159" s="208"/>
      <c r="H159" s="208"/>
      <c r="I159" s="208"/>
      <c r="J159" s="182"/>
      <c r="K159" s="182"/>
      <c r="L159" s="182"/>
      <c r="M159" s="188">
        <v>725</v>
      </c>
      <c r="N159" s="188">
        <v>725</v>
      </c>
      <c r="O159" s="188">
        <v>725</v>
      </c>
      <c r="P159" s="215">
        <v>800</v>
      </c>
    </row>
    <row r="160" spans="1:16">
      <c r="A160" s="31" t="s">
        <v>442</v>
      </c>
      <c r="B160" s="31" t="s">
        <v>97</v>
      </c>
      <c r="C160" s="198"/>
      <c r="D160" s="195"/>
      <c r="E160" s="195"/>
      <c r="F160" s="195"/>
      <c r="G160" s="208"/>
      <c r="H160" s="208"/>
      <c r="I160" s="208"/>
      <c r="J160" s="182"/>
      <c r="K160" s="182"/>
      <c r="L160" s="182"/>
      <c r="M160" s="188"/>
      <c r="N160" s="188"/>
      <c r="O160" s="188"/>
      <c r="P160" s="215"/>
    </row>
    <row r="161" spans="1:17">
      <c r="A161" s="31" t="s">
        <v>443</v>
      </c>
      <c r="B161" s="31" t="s">
        <v>421</v>
      </c>
      <c r="C161" s="198"/>
      <c r="D161" s="195"/>
      <c r="E161" s="195"/>
      <c r="F161" s="195"/>
      <c r="G161" s="208"/>
      <c r="H161" s="208"/>
      <c r="I161" s="208"/>
      <c r="J161" s="182"/>
      <c r="K161" s="182"/>
      <c r="L161" s="182"/>
      <c r="M161" s="188"/>
      <c r="N161" s="188"/>
      <c r="O161" s="188"/>
      <c r="P161" s="215"/>
    </row>
    <row r="162" spans="1:17">
      <c r="A162" s="31" t="s">
        <v>444</v>
      </c>
      <c r="B162" s="31" t="s">
        <v>423</v>
      </c>
      <c r="C162" s="198"/>
      <c r="D162" s="195"/>
      <c r="E162" s="195"/>
      <c r="F162" s="195"/>
      <c r="G162" s="208"/>
      <c r="H162" s="208"/>
      <c r="I162" s="208"/>
      <c r="J162" s="182"/>
      <c r="K162" s="182"/>
      <c r="L162" s="182"/>
      <c r="M162" s="188"/>
      <c r="N162" s="188"/>
      <c r="O162" s="188"/>
      <c r="P162" s="215">
        <v>500</v>
      </c>
    </row>
    <row r="163" spans="1:17">
      <c r="A163" s="31" t="s">
        <v>445</v>
      </c>
      <c r="B163" s="31" t="s">
        <v>416</v>
      </c>
      <c r="C163" s="198"/>
      <c r="D163" s="195"/>
      <c r="E163" s="195"/>
      <c r="F163" s="195"/>
      <c r="G163" s="208"/>
      <c r="H163" s="208"/>
      <c r="I163" s="208"/>
      <c r="J163" s="182"/>
      <c r="K163" s="182"/>
      <c r="L163" s="182"/>
      <c r="M163" s="188"/>
      <c r="N163" s="188"/>
      <c r="O163" s="188"/>
      <c r="P163" s="215"/>
    </row>
    <row r="164" spans="1:17">
      <c r="A164" s="31" t="s">
        <v>76</v>
      </c>
      <c r="B164" s="31" t="s">
        <v>155</v>
      </c>
      <c r="C164" s="198"/>
      <c r="D164" s="195"/>
      <c r="E164" s="195"/>
      <c r="F164" s="195"/>
      <c r="G164" s="208"/>
      <c r="H164" s="208"/>
      <c r="I164" s="208"/>
      <c r="J164" s="182"/>
      <c r="K164" s="182"/>
      <c r="L164" s="182"/>
      <c r="M164" s="188"/>
      <c r="N164" s="188"/>
      <c r="O164" s="188"/>
      <c r="P164" s="215"/>
    </row>
    <row r="165" spans="1:17">
      <c r="A165" s="31" t="s">
        <v>79</v>
      </c>
      <c r="B165" s="31" t="s">
        <v>156</v>
      </c>
      <c r="C165" s="198"/>
      <c r="D165" s="195"/>
      <c r="E165" s="195"/>
      <c r="F165" s="195"/>
      <c r="G165" s="208"/>
      <c r="H165" s="208"/>
      <c r="I165" s="208"/>
      <c r="J165" s="182"/>
      <c r="K165" s="182"/>
      <c r="L165" s="182"/>
      <c r="M165" s="188"/>
      <c r="N165" s="188"/>
      <c r="O165" s="188"/>
      <c r="P165" s="215"/>
    </row>
    <row r="166" spans="1:17">
      <c r="A166" s="31" t="s">
        <v>78</v>
      </c>
      <c r="B166" s="31" t="s">
        <v>157</v>
      </c>
      <c r="C166" s="198"/>
      <c r="D166" s="195"/>
      <c r="E166" s="195"/>
      <c r="F166" s="195"/>
      <c r="G166" s="208"/>
      <c r="H166" s="208"/>
      <c r="I166" s="208"/>
      <c r="J166" s="182"/>
      <c r="K166" s="182"/>
      <c r="L166" s="182"/>
      <c r="M166" s="188"/>
      <c r="N166" s="188"/>
      <c r="O166" s="188"/>
      <c r="P166" s="215"/>
    </row>
    <row r="167" spans="1:17">
      <c r="A167" s="31" t="s">
        <v>77</v>
      </c>
      <c r="B167" s="31" t="s">
        <v>158</v>
      </c>
      <c r="C167" s="198"/>
      <c r="D167" s="195"/>
      <c r="E167" s="195"/>
      <c r="F167" s="195"/>
      <c r="G167" s="208"/>
      <c r="H167" s="208"/>
      <c r="I167" s="208"/>
      <c r="J167" s="182"/>
      <c r="K167" s="182"/>
      <c r="L167" s="182"/>
      <c r="M167" s="188"/>
      <c r="N167" s="188"/>
      <c r="O167" s="188"/>
      <c r="P167" s="215"/>
    </row>
    <row r="168" spans="1:17">
      <c r="A168" s="31" t="s">
        <v>80</v>
      </c>
      <c r="B168" s="31" t="s">
        <v>159</v>
      </c>
      <c r="C168" s="198"/>
      <c r="D168" s="195"/>
      <c r="E168" s="195"/>
      <c r="F168" s="195"/>
      <c r="G168" s="208"/>
      <c r="H168" s="208"/>
      <c r="I168" s="208"/>
      <c r="J168" s="182"/>
      <c r="K168" s="182"/>
      <c r="L168" s="182"/>
      <c r="M168" s="188"/>
      <c r="N168" s="188"/>
      <c r="O168" s="188"/>
      <c r="P168" s="215"/>
    </row>
    <row r="169" spans="1:17">
      <c r="A169" s="31" t="s">
        <v>81</v>
      </c>
      <c r="B169" s="31" t="s">
        <v>160</v>
      </c>
      <c r="C169" s="198"/>
      <c r="D169" s="195"/>
      <c r="E169" s="195"/>
      <c r="F169" s="195"/>
      <c r="G169" s="208"/>
      <c r="H169" s="208"/>
      <c r="I169" s="208"/>
      <c r="J169" s="182"/>
      <c r="K169" s="182"/>
      <c r="L169" s="182"/>
      <c r="M169" s="188">
        <f>19*12*8+500</f>
        <v>2324</v>
      </c>
      <c r="N169" s="188">
        <f t="shared" ref="N169:O169" si="117">19*12*8+500</f>
        <v>2324</v>
      </c>
      <c r="O169" s="188">
        <f t="shared" si="117"/>
        <v>2324</v>
      </c>
      <c r="P169" s="215">
        <v>1000</v>
      </c>
    </row>
    <row r="170" spans="1:17">
      <c r="A170" s="31" t="s">
        <v>161</v>
      </c>
      <c r="B170" s="31" t="s">
        <v>162</v>
      </c>
      <c r="C170" s="203"/>
      <c r="D170" s="196"/>
      <c r="E170" s="196"/>
      <c r="F170" s="196"/>
      <c r="G170" s="89"/>
      <c r="H170" s="89"/>
      <c r="I170" s="89"/>
      <c r="J170" s="183"/>
      <c r="K170" s="183"/>
      <c r="L170" s="183"/>
      <c r="M170" s="189">
        <f>2250</f>
        <v>2250</v>
      </c>
      <c r="N170" s="189">
        <v>25000</v>
      </c>
      <c r="O170" s="189">
        <v>2250</v>
      </c>
      <c r="P170" s="216">
        <v>8000</v>
      </c>
      <c r="Q170" s="1" t="s">
        <v>617</v>
      </c>
    </row>
    <row r="171" spans="1:17">
      <c r="B171" s="31" t="s">
        <v>163</v>
      </c>
      <c r="C171" s="198">
        <f>SUM(C158:C170)</f>
        <v>6000</v>
      </c>
      <c r="D171" s="195">
        <f t="shared" ref="D171:P171" si="118">SUM(D158:D170)</f>
        <v>1500</v>
      </c>
      <c r="E171" s="195">
        <f t="shared" ref="E171" si="119">SUM(E158:E170)</f>
        <v>400</v>
      </c>
      <c r="F171" s="195">
        <f t="shared" ref="F171" si="120">SUM(F158:F170)</f>
        <v>1500</v>
      </c>
      <c r="G171" s="208">
        <f t="shared" si="118"/>
        <v>1575</v>
      </c>
      <c r="H171" s="208">
        <f t="shared" ref="H171" si="121">SUM(H158:H170)</f>
        <v>740</v>
      </c>
      <c r="I171" s="208">
        <f t="shared" ref="I171" si="122">SUM(I158:I170)</f>
        <v>1295</v>
      </c>
      <c r="J171" s="182">
        <f t="shared" si="118"/>
        <v>1200</v>
      </c>
      <c r="K171" s="182">
        <f t="shared" ref="K171:L171" si="123">SUM(K158:K170)</f>
        <v>0</v>
      </c>
      <c r="L171" s="182">
        <f t="shared" si="123"/>
        <v>1200</v>
      </c>
      <c r="M171" s="188">
        <f t="shared" si="118"/>
        <v>5999</v>
      </c>
      <c r="N171" s="188">
        <f t="shared" ref="N171:O171" si="124">SUM(N158:N170)</f>
        <v>28749</v>
      </c>
      <c r="O171" s="188">
        <f t="shared" si="124"/>
        <v>5999</v>
      </c>
      <c r="P171" s="215">
        <f t="shared" si="118"/>
        <v>14800</v>
      </c>
    </row>
    <row r="172" spans="1:17">
      <c r="C172" s="198"/>
      <c r="D172" s="195"/>
      <c r="E172" s="195"/>
      <c r="F172" s="195"/>
      <c r="G172" s="208"/>
      <c r="H172" s="208"/>
      <c r="I172" s="208"/>
      <c r="J172" s="182"/>
      <c r="K172" s="182"/>
      <c r="L172" s="182"/>
      <c r="M172" s="188"/>
      <c r="N172" s="188"/>
      <c r="O172" s="188"/>
      <c r="P172" s="215"/>
    </row>
    <row r="173" spans="1:17">
      <c r="A173" s="31" t="s">
        <v>164</v>
      </c>
      <c r="C173" s="198"/>
      <c r="D173" s="195"/>
      <c r="E173" s="195"/>
      <c r="F173" s="195"/>
      <c r="G173" s="208"/>
      <c r="H173" s="208"/>
      <c r="I173" s="208"/>
      <c r="J173" s="182"/>
      <c r="K173" s="182"/>
      <c r="L173" s="182"/>
      <c r="M173" s="188"/>
      <c r="N173" s="188"/>
      <c r="O173" s="188"/>
      <c r="P173" s="215"/>
    </row>
    <row r="174" spans="1:17">
      <c r="A174" s="31" t="s">
        <v>165</v>
      </c>
      <c r="C174" s="198"/>
      <c r="D174" s="195"/>
      <c r="E174" s="195"/>
      <c r="F174" s="195"/>
      <c r="G174" s="208"/>
      <c r="H174" s="208"/>
      <c r="I174" s="208"/>
      <c r="J174" s="182"/>
      <c r="K174" s="182"/>
      <c r="L174" s="182"/>
      <c r="M174" s="188"/>
      <c r="N174" s="188"/>
      <c r="O174" s="188"/>
      <c r="P174" s="215"/>
    </row>
    <row r="175" spans="1:17">
      <c r="A175" s="31" t="s">
        <v>86</v>
      </c>
      <c r="B175" s="31" t="s">
        <v>85</v>
      </c>
      <c r="C175" s="198"/>
      <c r="D175" s="195"/>
      <c r="E175" s="195"/>
      <c r="F175" s="195"/>
      <c r="G175" s="208"/>
      <c r="H175" s="208"/>
      <c r="I175" s="208"/>
      <c r="J175" s="182"/>
      <c r="K175" s="182"/>
      <c r="L175" s="182"/>
      <c r="M175" s="188"/>
      <c r="N175" s="188"/>
      <c r="O175" s="188"/>
      <c r="P175" s="215">
        <v>200</v>
      </c>
    </row>
    <row r="176" spans="1:17">
      <c r="A176" s="31" t="s">
        <v>91</v>
      </c>
      <c r="B176" s="31" t="s">
        <v>92</v>
      </c>
      <c r="C176" s="198"/>
      <c r="D176" s="195"/>
      <c r="E176" s="195"/>
      <c r="F176" s="195"/>
      <c r="G176" s="208"/>
      <c r="H176" s="208"/>
      <c r="I176" s="208"/>
      <c r="J176" s="182"/>
      <c r="K176" s="182"/>
      <c r="L176" s="182"/>
      <c r="M176" s="188"/>
      <c r="N176" s="188"/>
      <c r="O176" s="188"/>
      <c r="P176" s="215"/>
    </row>
    <row r="177" spans="1:16">
      <c r="A177" s="31" t="s">
        <v>93</v>
      </c>
      <c r="B177" s="31" t="s">
        <v>94</v>
      </c>
      <c r="C177" s="198"/>
      <c r="D177" s="195"/>
      <c r="E177" s="195"/>
      <c r="F177" s="195"/>
      <c r="G177" s="208"/>
      <c r="H177" s="208"/>
      <c r="I177" s="208"/>
      <c r="J177" s="182"/>
      <c r="K177" s="182"/>
      <c r="L177" s="182"/>
      <c r="M177" s="188"/>
      <c r="N177" s="188"/>
      <c r="O177" s="188"/>
      <c r="P177" s="215"/>
    </row>
    <row r="178" spans="1:16">
      <c r="A178" s="31" t="s">
        <v>95</v>
      </c>
      <c r="B178" s="31" t="s">
        <v>405</v>
      </c>
      <c r="C178" s="198"/>
      <c r="D178" s="195"/>
      <c r="E178" s="195"/>
      <c r="F178" s="195"/>
      <c r="G178" s="208"/>
      <c r="H178" s="208"/>
      <c r="I178" s="208"/>
      <c r="J178" s="182"/>
      <c r="K178" s="182"/>
      <c r="L178" s="182"/>
      <c r="M178" s="188"/>
      <c r="N178" s="188"/>
      <c r="O178" s="188"/>
      <c r="P178" s="215"/>
    </row>
    <row r="179" spans="1:16">
      <c r="A179" s="31" t="s">
        <v>96</v>
      </c>
      <c r="B179" s="31" t="s">
        <v>404</v>
      </c>
      <c r="C179" s="198"/>
      <c r="D179" s="195"/>
      <c r="E179" s="195"/>
      <c r="F179" s="195"/>
      <c r="G179" s="208"/>
      <c r="H179" s="208"/>
      <c r="I179" s="208"/>
      <c r="J179" s="182"/>
      <c r="K179" s="182"/>
      <c r="L179" s="182"/>
      <c r="M179" s="188"/>
      <c r="N179" s="188"/>
      <c r="O179" s="188"/>
      <c r="P179" s="215"/>
    </row>
    <row r="180" spans="1:16">
      <c r="A180" s="31" t="s">
        <v>98</v>
      </c>
      <c r="B180" s="31" t="s">
        <v>99</v>
      </c>
      <c r="C180" s="198"/>
      <c r="D180" s="195"/>
      <c r="E180" s="195"/>
      <c r="F180" s="195"/>
      <c r="G180" s="208"/>
      <c r="H180" s="208"/>
      <c r="I180" s="208"/>
      <c r="J180" s="182"/>
      <c r="K180" s="182"/>
      <c r="L180" s="182"/>
      <c r="M180" s="188"/>
      <c r="N180" s="188"/>
      <c r="O180" s="188"/>
      <c r="P180" s="215"/>
    </row>
    <row r="181" spans="1:16">
      <c r="A181" s="31" t="s">
        <v>100</v>
      </c>
      <c r="B181" s="31" t="s">
        <v>284</v>
      </c>
      <c r="C181" s="198"/>
      <c r="D181" s="195"/>
      <c r="E181" s="195"/>
      <c r="F181" s="195"/>
      <c r="G181" s="208"/>
      <c r="H181" s="208"/>
      <c r="I181" s="208"/>
      <c r="J181" s="182"/>
      <c r="K181" s="182"/>
      <c r="L181" s="182"/>
      <c r="M181" s="188"/>
      <c r="N181" s="188"/>
      <c r="O181" s="188"/>
      <c r="P181" s="215"/>
    </row>
    <row r="182" spans="1:16">
      <c r="A182" s="31" t="s">
        <v>101</v>
      </c>
      <c r="B182" s="31" t="s">
        <v>102</v>
      </c>
      <c r="C182" s="198"/>
      <c r="D182" s="195"/>
      <c r="E182" s="195"/>
      <c r="F182" s="195"/>
      <c r="G182" s="208"/>
      <c r="H182" s="208"/>
      <c r="I182" s="208"/>
      <c r="J182" s="182"/>
      <c r="K182" s="182"/>
      <c r="L182" s="182"/>
      <c r="M182" s="188"/>
      <c r="N182" s="188"/>
      <c r="O182" s="188"/>
      <c r="P182" s="215"/>
    </row>
    <row r="183" spans="1:16">
      <c r="A183" s="31" t="s">
        <v>105</v>
      </c>
      <c r="B183" s="31" t="s">
        <v>167</v>
      </c>
      <c r="C183" s="198"/>
      <c r="D183" s="195"/>
      <c r="E183" s="195"/>
      <c r="F183" s="195"/>
      <c r="G183" s="208"/>
      <c r="H183" s="208"/>
      <c r="I183" s="208"/>
      <c r="J183" s="182"/>
      <c r="K183" s="182"/>
      <c r="L183" s="182"/>
      <c r="M183" s="188"/>
      <c r="N183" s="188"/>
      <c r="O183" s="188"/>
      <c r="P183" s="215"/>
    </row>
    <row r="184" spans="1:16">
      <c r="A184" s="31" t="s">
        <v>106</v>
      </c>
      <c r="B184" s="31" t="s">
        <v>107</v>
      </c>
      <c r="C184" s="198"/>
      <c r="D184" s="195"/>
      <c r="E184" s="195"/>
      <c r="F184" s="195"/>
      <c r="G184" s="208"/>
      <c r="H184" s="208"/>
      <c r="I184" s="208"/>
      <c r="J184" s="182"/>
      <c r="K184" s="182"/>
      <c r="L184" s="182"/>
      <c r="M184" s="188"/>
      <c r="N184" s="188"/>
      <c r="O184" s="188"/>
      <c r="P184" s="215"/>
    </row>
    <row r="185" spans="1:16">
      <c r="A185" s="31" t="s">
        <v>428</v>
      </c>
      <c r="B185" s="31" t="s">
        <v>429</v>
      </c>
      <c r="C185" s="203"/>
      <c r="D185" s="196"/>
      <c r="E185" s="196"/>
      <c r="F185" s="196"/>
      <c r="G185" s="89"/>
      <c r="H185" s="89"/>
      <c r="I185" s="89"/>
      <c r="J185" s="183"/>
      <c r="K185" s="183"/>
      <c r="L185" s="183"/>
      <c r="M185" s="189"/>
      <c r="N185" s="189"/>
      <c r="O185" s="189"/>
      <c r="P185" s="216"/>
    </row>
    <row r="186" spans="1:16">
      <c r="B186" s="31" t="s">
        <v>168</v>
      </c>
      <c r="C186" s="198">
        <f>SUM(C175:C185)</f>
        <v>0</v>
      </c>
      <c r="D186" s="195">
        <f t="shared" ref="D186:P186" si="125">SUM(D175:D185)</f>
        <v>0</v>
      </c>
      <c r="E186" s="195">
        <f t="shared" ref="E186" si="126">SUM(E175:E185)</f>
        <v>0</v>
      </c>
      <c r="F186" s="195">
        <f t="shared" ref="F186" si="127">SUM(F175:F185)</f>
        <v>0</v>
      </c>
      <c r="G186" s="208">
        <f t="shared" si="125"/>
        <v>0</v>
      </c>
      <c r="H186" s="208">
        <f t="shared" ref="H186" si="128">SUM(H175:H185)</f>
        <v>0</v>
      </c>
      <c r="I186" s="208">
        <f t="shared" ref="I186" si="129">SUM(I175:I185)</f>
        <v>0</v>
      </c>
      <c r="J186" s="182">
        <f t="shared" si="125"/>
        <v>0</v>
      </c>
      <c r="K186" s="182">
        <f t="shared" ref="K186:L186" si="130">SUM(K175:K185)</f>
        <v>0</v>
      </c>
      <c r="L186" s="182">
        <f t="shared" si="130"/>
        <v>0</v>
      </c>
      <c r="M186" s="188">
        <f t="shared" si="125"/>
        <v>0</v>
      </c>
      <c r="N186" s="188">
        <f t="shared" ref="N186:O186" si="131">SUM(N175:N185)</f>
        <v>0</v>
      </c>
      <c r="O186" s="188">
        <f t="shared" si="131"/>
        <v>0</v>
      </c>
      <c r="P186" s="215">
        <f t="shared" si="125"/>
        <v>200</v>
      </c>
    </row>
    <row r="187" spans="1:16">
      <c r="C187" s="198"/>
      <c r="D187" s="195"/>
      <c r="E187" s="195"/>
      <c r="F187" s="195"/>
      <c r="G187" s="208"/>
      <c r="H187" s="208"/>
      <c r="I187" s="208"/>
      <c r="J187" s="182"/>
      <c r="K187" s="182"/>
      <c r="L187" s="182"/>
      <c r="M187" s="188"/>
      <c r="N187" s="188"/>
      <c r="O187" s="188"/>
      <c r="P187" s="215"/>
    </row>
    <row r="188" spans="1:16" s="4" customFormat="1">
      <c r="A188" s="35"/>
      <c r="B188" s="35" t="s">
        <v>169</v>
      </c>
      <c r="C188" s="106">
        <f t="shared" ref="C188:P188" si="132">+C122+C133+C141+C150+C155+C171+C186</f>
        <v>7500</v>
      </c>
      <c r="D188" s="197">
        <f t="shared" si="132"/>
        <v>3120</v>
      </c>
      <c r="E188" s="197">
        <f t="shared" ref="E188" si="133">+E122+E133+E141+E150+E155+E171+E186</f>
        <v>2020</v>
      </c>
      <c r="F188" s="197">
        <f t="shared" ref="F188" si="134">+F122+F133+F141+F150+F155+F171+F186</f>
        <v>3120</v>
      </c>
      <c r="G188" s="112">
        <f t="shared" si="132"/>
        <v>40795</v>
      </c>
      <c r="H188" s="112">
        <f t="shared" ref="H188" si="135">+H122+H133+H141+H150+H155+H171+H186</f>
        <v>18960</v>
      </c>
      <c r="I188" s="112">
        <f t="shared" ref="I188" si="136">+I122+I133+I141+I150+I155+I171+I186</f>
        <v>32115</v>
      </c>
      <c r="J188" s="184">
        <f t="shared" si="132"/>
        <v>2820</v>
      </c>
      <c r="K188" s="184">
        <f t="shared" ref="K188:L188" si="137">+K122+K133+K141+K150+K155+K171+K186</f>
        <v>0</v>
      </c>
      <c r="L188" s="184">
        <f t="shared" si="137"/>
        <v>2820</v>
      </c>
      <c r="M188" s="190">
        <f t="shared" si="132"/>
        <v>11301</v>
      </c>
      <c r="N188" s="190">
        <f t="shared" ref="N188:O188" si="138">+N122+N133+N141+N150+N155+N171+N186</f>
        <v>32971</v>
      </c>
      <c r="O188" s="190">
        <f t="shared" si="138"/>
        <v>8199</v>
      </c>
      <c r="P188" s="217">
        <f t="shared" si="132"/>
        <v>21560</v>
      </c>
    </row>
    <row r="189" spans="1:16">
      <c r="C189" s="198"/>
      <c r="D189" s="195"/>
      <c r="E189" s="195"/>
      <c r="F189" s="195"/>
      <c r="G189" s="208"/>
      <c r="H189" s="208"/>
      <c r="I189" s="208"/>
      <c r="J189" s="182"/>
      <c r="K189" s="182"/>
      <c r="L189" s="182"/>
      <c r="M189" s="188"/>
      <c r="N189" s="188"/>
      <c r="O189" s="188"/>
      <c r="P189" s="215"/>
    </row>
    <row r="190" spans="1:16">
      <c r="B190" s="35" t="s">
        <v>435</v>
      </c>
      <c r="C190" s="198"/>
      <c r="D190" s="195"/>
      <c r="E190" s="195"/>
      <c r="F190" s="195"/>
      <c r="G190" s="208"/>
      <c r="H190" s="208"/>
      <c r="I190" s="208"/>
      <c r="J190" s="182"/>
      <c r="K190" s="182"/>
      <c r="L190" s="182"/>
      <c r="M190" s="188"/>
      <c r="N190" s="188"/>
      <c r="O190" s="188"/>
      <c r="P190" s="215"/>
    </row>
    <row r="191" spans="1:16" s="4" customFormat="1">
      <c r="A191" s="31"/>
      <c r="B191" s="31"/>
      <c r="C191" s="106">
        <f>SUM(C68-C104-C188)</f>
        <v>-93391.94306225024</v>
      </c>
      <c r="D191" s="197">
        <f t="shared" ref="D191:P191" si="139">SUM(D68-D104-D188)</f>
        <v>266535.67290336761</v>
      </c>
      <c r="E191" s="197">
        <f t="shared" ref="E191" si="140">SUM(E68-E104-E188)</f>
        <v>80529.683310304506</v>
      </c>
      <c r="F191" s="197">
        <f t="shared" ref="F191" si="141">SUM(F68-F104-F188)</f>
        <v>172035.2524758621</v>
      </c>
      <c r="G191" s="112">
        <f t="shared" si="139"/>
        <v>-66926.192856731795</v>
      </c>
      <c r="H191" s="112">
        <f t="shared" ref="H191" si="142">SUM(H68-H104-H188)</f>
        <v>-30257.830854160002</v>
      </c>
      <c r="I191" s="112">
        <f t="shared" ref="I191" si="143">SUM(I68-I104-I188)</f>
        <v>-51886.20399478</v>
      </c>
      <c r="J191" s="184">
        <f t="shared" si="139"/>
        <v>-65825.01318400001</v>
      </c>
      <c r="K191" s="184">
        <f t="shared" ref="K191:L191" si="144">SUM(K68-K104-K188)</f>
        <v>0</v>
      </c>
      <c r="L191" s="184">
        <f t="shared" si="144"/>
        <v>-65825.01318400001</v>
      </c>
      <c r="M191" s="190">
        <f t="shared" si="139"/>
        <v>-56356.35859256921</v>
      </c>
      <c r="N191" s="190">
        <f t="shared" ref="N191:O191" si="145">SUM(N68-N104-N188)</f>
        <v>-56575.475652000001</v>
      </c>
      <c r="O191" s="190">
        <f t="shared" si="145"/>
        <v>-12279.8951304</v>
      </c>
      <c r="P191" s="217">
        <f t="shared" si="139"/>
        <v>-90095.453476177136</v>
      </c>
    </row>
    <row r="192" spans="1:16">
      <c r="A192" s="35"/>
      <c r="B192" s="35" t="s">
        <v>170</v>
      </c>
    </row>
    <row r="194" spans="1:2">
      <c r="A194" s="78"/>
    </row>
    <row r="195" spans="1:2">
      <c r="A195" s="78"/>
    </row>
    <row r="196" spans="1:2">
      <c r="B196" s="26"/>
    </row>
  </sheetData>
  <phoneticPr fontId="5" type="noConversion"/>
  <pageMargins left="0.56999999999999995" right="0.17" top="1" bottom="0.42" header="0.17" footer="0.17"/>
  <pageSetup fitToHeight="2" orientation="landscape"/>
  <headerFooter alignWithMargins="0">
    <oddHeader xml:space="preserve">&amp;C&amp;"MS Sans Serif,Bold"&amp;13INTERNATIONAL SCHOOL OF LOUISIANA
&amp;A
Budget '13-2014
</oddHeader>
    <oddFooter>&amp;L&amp;6&amp;Z&amp;F&amp;R&amp;P of &amp;N</oddFooter>
  </headerFooter>
  <ignoredErrors>
    <ignoredError sqref="C10:D10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2:G19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23" sqref="E23"/>
    </sheetView>
  </sheetViews>
  <sheetFormatPr baseColWidth="10" defaultColWidth="11.42578125" defaultRowHeight="10" x14ac:dyDescent="0"/>
  <cols>
    <col min="1" max="1" width="15" style="31" customWidth="1"/>
    <col min="2" max="2" width="26.85546875" style="31" customWidth="1"/>
    <col min="3" max="5" width="11.42578125" style="1"/>
    <col min="6" max="6" width="3.28515625" style="1" customWidth="1"/>
    <col min="7" max="7" width="11.42578125" style="49"/>
    <col min="8" max="16384" width="11.42578125" style="1"/>
  </cols>
  <sheetData>
    <row r="2" spans="1:7">
      <c r="B2" s="30" t="s">
        <v>614</v>
      </c>
    </row>
    <row r="3" spans="1:7">
      <c r="B3" s="174" t="s">
        <v>584</v>
      </c>
    </row>
    <row r="4" spans="1:7">
      <c r="A4" s="31" t="s">
        <v>433</v>
      </c>
      <c r="B4" s="32">
        <v>490</v>
      </c>
    </row>
    <row r="5" spans="1:7">
      <c r="A5" s="31" t="s">
        <v>586</v>
      </c>
      <c r="B5" s="32">
        <v>150</v>
      </c>
    </row>
    <row r="6" spans="1:7">
      <c r="A6" s="31" t="s">
        <v>434</v>
      </c>
      <c r="B6" s="32">
        <v>215</v>
      </c>
    </row>
    <row r="7" spans="1:7" s="8" customFormat="1">
      <c r="A7" s="28" t="s">
        <v>587</v>
      </c>
      <c r="B7" s="32">
        <v>400</v>
      </c>
      <c r="C7" s="55">
        <v>3</v>
      </c>
      <c r="D7" s="55">
        <v>2</v>
      </c>
      <c r="E7" s="55">
        <v>2</v>
      </c>
      <c r="G7" s="57">
        <f>SUM(C7:F7)</f>
        <v>7</v>
      </c>
    </row>
    <row r="8" spans="1:7">
      <c r="B8" s="175">
        <f>SUM(B4:B7)</f>
        <v>1255</v>
      </c>
      <c r="C8" s="21">
        <v>50</v>
      </c>
      <c r="D8" s="21">
        <v>25</v>
      </c>
      <c r="E8" s="21">
        <v>25</v>
      </c>
    </row>
    <row r="9" spans="1:7">
      <c r="C9" s="1" t="s">
        <v>592</v>
      </c>
      <c r="D9" s="1" t="s">
        <v>593</v>
      </c>
      <c r="E9" s="1" t="s">
        <v>594</v>
      </c>
    </row>
    <row r="10" spans="1:7" s="7" customFormat="1" ht="11" thickBot="1">
      <c r="A10" s="33"/>
      <c r="B10" s="33" t="s">
        <v>174</v>
      </c>
      <c r="C10" s="7">
        <v>3200</v>
      </c>
      <c r="D10" s="7">
        <v>3200</v>
      </c>
      <c r="E10" s="7">
        <v>3200</v>
      </c>
      <c r="G10" s="51"/>
    </row>
    <row r="11" spans="1:7">
      <c r="A11" s="31" t="s">
        <v>268</v>
      </c>
    </row>
    <row r="12" spans="1:7">
      <c r="A12" s="31" t="s">
        <v>269</v>
      </c>
    </row>
    <row r="13" spans="1:7">
      <c r="A13" s="31" t="s">
        <v>171</v>
      </c>
      <c r="B13" s="31" t="s">
        <v>270</v>
      </c>
      <c r="C13" s="38"/>
      <c r="D13" s="38"/>
      <c r="E13" s="38"/>
      <c r="G13" s="60">
        <f>SUM(C13:D13)</f>
        <v>0</v>
      </c>
    </row>
    <row r="14" spans="1:7">
      <c r="A14" s="31" t="s">
        <v>172</v>
      </c>
      <c r="B14" s="31" t="s">
        <v>271</v>
      </c>
      <c r="C14" s="38"/>
      <c r="D14" s="38"/>
      <c r="E14" s="38"/>
      <c r="G14" s="60">
        <f t="shared" ref="G14:G37" si="0">SUM(C14:D14)</f>
        <v>0</v>
      </c>
    </row>
    <row r="15" spans="1:7">
      <c r="A15" s="31" t="s">
        <v>173</v>
      </c>
      <c r="B15" s="31" t="s">
        <v>272</v>
      </c>
      <c r="C15" s="38"/>
      <c r="D15" s="38"/>
      <c r="E15" s="38"/>
      <c r="G15" s="60">
        <f t="shared" si="0"/>
        <v>0</v>
      </c>
    </row>
    <row r="16" spans="1:7">
      <c r="A16" s="31" t="s">
        <v>193</v>
      </c>
      <c r="B16" s="31" t="s">
        <v>273</v>
      </c>
      <c r="C16" s="38"/>
      <c r="D16" s="38"/>
      <c r="E16" s="38"/>
      <c r="G16" s="60">
        <f t="shared" si="0"/>
        <v>0</v>
      </c>
    </row>
    <row r="17" spans="1:7">
      <c r="A17" s="31" t="s">
        <v>194</v>
      </c>
      <c r="B17" s="31" t="s">
        <v>274</v>
      </c>
      <c r="C17" s="38">
        <f>150*9*C8</f>
        <v>67500</v>
      </c>
      <c r="D17" s="38">
        <f>150*9*D8</f>
        <v>33750</v>
      </c>
      <c r="E17" s="38">
        <f>150*9*E8</f>
        <v>33750</v>
      </c>
      <c r="G17" s="60">
        <f t="shared" si="0"/>
        <v>101250</v>
      </c>
    </row>
    <row r="18" spans="1:7">
      <c r="A18" s="31" t="s">
        <v>195</v>
      </c>
      <c r="B18" s="31" t="s">
        <v>275</v>
      </c>
      <c r="C18" s="38"/>
      <c r="D18" s="38"/>
      <c r="E18" s="38"/>
      <c r="G18" s="60">
        <f t="shared" si="0"/>
        <v>0</v>
      </c>
    </row>
    <row r="19" spans="1:7">
      <c r="A19" s="31" t="s">
        <v>196</v>
      </c>
      <c r="B19" s="31" t="s">
        <v>276</v>
      </c>
      <c r="C19" s="38"/>
      <c r="D19" s="38"/>
      <c r="E19" s="38"/>
      <c r="G19" s="60">
        <f t="shared" si="0"/>
        <v>0</v>
      </c>
    </row>
    <row r="20" spans="1:7">
      <c r="A20" s="31" t="s">
        <v>197</v>
      </c>
      <c r="B20" s="31" t="s">
        <v>277</v>
      </c>
      <c r="C20" s="38"/>
      <c r="D20" s="38"/>
      <c r="E20" s="38"/>
      <c r="G20" s="60">
        <f t="shared" si="0"/>
        <v>0</v>
      </c>
    </row>
    <row r="21" spans="1:7">
      <c r="A21" s="31" t="s">
        <v>198</v>
      </c>
      <c r="B21" s="31" t="s">
        <v>278</v>
      </c>
      <c r="C21" s="38"/>
      <c r="D21" s="38"/>
      <c r="E21" s="38"/>
      <c r="G21" s="60">
        <f t="shared" si="0"/>
        <v>0</v>
      </c>
    </row>
    <row r="22" spans="1:7">
      <c r="A22" s="31" t="s">
        <v>199</v>
      </c>
      <c r="B22" s="31" t="s">
        <v>279</v>
      </c>
      <c r="C22" s="38"/>
      <c r="D22" s="38"/>
      <c r="E22" s="38"/>
      <c r="G22" s="60">
        <f t="shared" si="0"/>
        <v>0</v>
      </c>
    </row>
    <row r="23" spans="1:7">
      <c r="A23" s="31" t="s">
        <v>200</v>
      </c>
      <c r="B23" s="31" t="s">
        <v>280</v>
      </c>
      <c r="C23" s="38"/>
      <c r="D23" s="38"/>
      <c r="E23" s="38"/>
      <c r="G23" s="60">
        <f t="shared" si="0"/>
        <v>0</v>
      </c>
    </row>
    <row r="24" spans="1:7">
      <c r="A24" s="31" t="s">
        <v>201</v>
      </c>
      <c r="B24" s="31" t="s">
        <v>281</v>
      </c>
      <c r="C24" s="38"/>
      <c r="D24" s="38"/>
      <c r="E24" s="38"/>
      <c r="G24" s="60">
        <f t="shared" si="0"/>
        <v>0</v>
      </c>
    </row>
    <row r="25" spans="1:7">
      <c r="A25" s="31" t="s">
        <v>202</v>
      </c>
      <c r="B25" s="31" t="s">
        <v>282</v>
      </c>
      <c r="C25" s="38"/>
      <c r="D25" s="38"/>
      <c r="E25" s="38"/>
      <c r="G25" s="60">
        <f t="shared" si="0"/>
        <v>0</v>
      </c>
    </row>
    <row r="26" spans="1:7">
      <c r="A26" s="31" t="s">
        <v>203</v>
      </c>
      <c r="B26" s="31" t="s">
        <v>283</v>
      </c>
      <c r="C26" s="38"/>
      <c r="D26" s="38"/>
      <c r="E26" s="38"/>
      <c r="G26" s="60">
        <f t="shared" si="0"/>
        <v>0</v>
      </c>
    </row>
    <row r="27" spans="1:7">
      <c r="A27" s="31" t="s">
        <v>204</v>
      </c>
      <c r="B27" s="31" t="s">
        <v>284</v>
      </c>
      <c r="C27" s="38"/>
      <c r="D27" s="38"/>
      <c r="E27" s="38"/>
      <c r="G27" s="60">
        <f t="shared" si="0"/>
        <v>0</v>
      </c>
    </row>
    <row r="28" spans="1:7">
      <c r="A28" s="31" t="s">
        <v>205</v>
      </c>
      <c r="B28" s="31" t="s">
        <v>285</v>
      </c>
      <c r="C28" s="38"/>
      <c r="D28" s="38"/>
      <c r="E28" s="38"/>
      <c r="G28" s="60">
        <f t="shared" si="0"/>
        <v>0</v>
      </c>
    </row>
    <row r="29" spans="1:7">
      <c r="A29" s="31" t="s">
        <v>206</v>
      </c>
      <c r="B29" s="31" t="s">
        <v>286</v>
      </c>
      <c r="C29" s="38"/>
      <c r="D29" s="38"/>
      <c r="E29" s="38"/>
      <c r="G29" s="60">
        <f t="shared" si="0"/>
        <v>0</v>
      </c>
    </row>
    <row r="30" spans="1:7">
      <c r="A30" s="31" t="s">
        <v>208</v>
      </c>
      <c r="B30" s="31" t="s">
        <v>287</v>
      </c>
      <c r="C30" s="38"/>
      <c r="D30" s="38"/>
      <c r="E30" s="38"/>
      <c r="G30" s="60">
        <f t="shared" si="0"/>
        <v>0</v>
      </c>
    </row>
    <row r="31" spans="1:7">
      <c r="A31" s="31" t="s">
        <v>207</v>
      </c>
      <c r="B31" s="31" t="s">
        <v>288</v>
      </c>
      <c r="C31" s="38"/>
      <c r="D31" s="38"/>
      <c r="E31" s="38"/>
      <c r="G31" s="60">
        <f t="shared" si="0"/>
        <v>0</v>
      </c>
    </row>
    <row r="32" spans="1:7">
      <c r="A32" s="31" t="s">
        <v>209</v>
      </c>
      <c r="B32" s="31" t="s">
        <v>210</v>
      </c>
      <c r="C32" s="38"/>
      <c r="D32" s="38"/>
      <c r="E32" s="38"/>
      <c r="G32" s="60">
        <f t="shared" si="0"/>
        <v>0</v>
      </c>
    </row>
    <row r="33" spans="1:7">
      <c r="A33" s="31" t="s">
        <v>213</v>
      </c>
      <c r="B33" s="31" t="s">
        <v>214</v>
      </c>
      <c r="C33" s="38"/>
      <c r="D33" s="38"/>
      <c r="E33" s="38"/>
      <c r="G33" s="60">
        <f t="shared" si="0"/>
        <v>0</v>
      </c>
    </row>
    <row r="34" spans="1:7">
      <c r="A34" s="31" t="s">
        <v>212</v>
      </c>
      <c r="B34" s="31" t="s">
        <v>289</v>
      </c>
      <c r="C34" s="38">
        <v>7200</v>
      </c>
      <c r="D34" s="38">
        <v>0</v>
      </c>
      <c r="E34" s="38">
        <v>0</v>
      </c>
      <c r="G34" s="60">
        <f t="shared" si="0"/>
        <v>7200</v>
      </c>
    </row>
    <row r="35" spans="1:7">
      <c r="A35" s="31" t="s">
        <v>211</v>
      </c>
      <c r="B35" s="31" t="s">
        <v>290</v>
      </c>
      <c r="C35" s="38"/>
      <c r="D35" s="38"/>
      <c r="E35" s="38"/>
      <c r="G35" s="60">
        <f t="shared" si="0"/>
        <v>0</v>
      </c>
    </row>
    <row r="36" spans="1:7">
      <c r="A36" s="31" t="s">
        <v>215</v>
      </c>
      <c r="B36" s="31" t="s">
        <v>291</v>
      </c>
      <c r="C36" s="38"/>
      <c r="D36" s="38"/>
      <c r="E36" s="38"/>
      <c r="G36" s="60">
        <f t="shared" si="0"/>
        <v>0</v>
      </c>
    </row>
    <row r="37" spans="1:7">
      <c r="A37" s="31" t="s">
        <v>216</v>
      </c>
      <c r="B37" s="31" t="s">
        <v>292</v>
      </c>
      <c r="C37" s="39"/>
      <c r="D37" s="39"/>
      <c r="E37" s="39"/>
      <c r="G37" s="59">
        <f t="shared" si="0"/>
        <v>0</v>
      </c>
    </row>
    <row r="38" spans="1:7">
      <c r="B38" s="31" t="s">
        <v>293</v>
      </c>
      <c r="C38" s="38">
        <f>SUM(C13:C37)</f>
        <v>74700</v>
      </c>
      <c r="D38" s="38">
        <f>SUM(D13:D37)</f>
        <v>33750</v>
      </c>
      <c r="E38" s="38">
        <f>SUM(E13:E37)</f>
        <v>33750</v>
      </c>
      <c r="G38" s="40">
        <f>SUM(G13:G37)</f>
        <v>108450</v>
      </c>
    </row>
    <row r="39" spans="1:7">
      <c r="C39" s="38"/>
      <c r="D39" s="38"/>
      <c r="E39" s="38"/>
      <c r="G39" s="50"/>
    </row>
    <row r="40" spans="1:7">
      <c r="A40" s="31" t="s">
        <v>294</v>
      </c>
      <c r="C40" s="38"/>
      <c r="D40" s="38"/>
      <c r="E40" s="38"/>
      <c r="G40" s="50"/>
    </row>
    <row r="41" spans="1:7">
      <c r="A41" s="31" t="s">
        <v>217</v>
      </c>
      <c r="B41" s="31" t="s">
        <v>295</v>
      </c>
      <c r="C41" s="38"/>
      <c r="D41" s="38"/>
      <c r="E41" s="38"/>
      <c r="G41" s="60">
        <f t="shared" ref="G41:G48" si="1">SUM(C41:D41)</f>
        <v>0</v>
      </c>
    </row>
    <row r="42" spans="1:7">
      <c r="A42" s="31" t="s">
        <v>218</v>
      </c>
      <c r="B42" s="31" t="s">
        <v>219</v>
      </c>
      <c r="C42" s="38"/>
      <c r="D42" s="38"/>
      <c r="E42" s="38"/>
      <c r="G42" s="60">
        <f t="shared" si="1"/>
        <v>0</v>
      </c>
    </row>
    <row r="43" spans="1:7">
      <c r="A43" s="31" t="s">
        <v>220</v>
      </c>
      <c r="B43" s="31" t="s">
        <v>221</v>
      </c>
      <c r="C43" s="38"/>
      <c r="D43" s="38"/>
      <c r="E43" s="38"/>
      <c r="G43" s="60">
        <f t="shared" si="1"/>
        <v>0</v>
      </c>
    </row>
    <row r="44" spans="1:7">
      <c r="A44" s="31" t="s">
        <v>222</v>
      </c>
      <c r="B44" s="31" t="s">
        <v>296</v>
      </c>
      <c r="C44" s="38"/>
      <c r="D44" s="38"/>
      <c r="E44" s="38"/>
      <c r="G44" s="60">
        <f t="shared" si="1"/>
        <v>0</v>
      </c>
    </row>
    <row r="45" spans="1:7">
      <c r="A45" s="31" t="s">
        <v>223</v>
      </c>
      <c r="B45" s="31" t="s">
        <v>224</v>
      </c>
      <c r="C45" s="38"/>
      <c r="D45" s="38"/>
      <c r="E45" s="38"/>
      <c r="G45" s="60">
        <f t="shared" si="1"/>
        <v>0</v>
      </c>
    </row>
    <row r="46" spans="1:7">
      <c r="A46" s="31" t="s">
        <v>225</v>
      </c>
      <c r="B46" s="31" t="s">
        <v>226</v>
      </c>
      <c r="C46" s="38"/>
      <c r="D46" s="38"/>
      <c r="E46" s="38"/>
      <c r="G46" s="60">
        <f t="shared" si="1"/>
        <v>0</v>
      </c>
    </row>
    <row r="47" spans="1:7">
      <c r="A47" s="31" t="s">
        <v>227</v>
      </c>
      <c r="B47" s="31" t="s">
        <v>297</v>
      </c>
      <c r="C47" s="38"/>
      <c r="D47" s="38"/>
      <c r="E47" s="38"/>
      <c r="G47" s="60">
        <f t="shared" si="1"/>
        <v>0</v>
      </c>
    </row>
    <row r="48" spans="1:7">
      <c r="A48" s="31" t="s">
        <v>228</v>
      </c>
      <c r="B48" s="31" t="s">
        <v>298</v>
      </c>
      <c r="C48" s="39"/>
      <c r="D48" s="39"/>
      <c r="E48" s="39"/>
      <c r="G48" s="59">
        <f t="shared" si="1"/>
        <v>0</v>
      </c>
    </row>
    <row r="49" spans="1:7">
      <c r="B49" s="31" t="s">
        <v>299</v>
      </c>
      <c r="C49" s="38">
        <f>SUM(C41:C48)</f>
        <v>0</v>
      </c>
      <c r="D49" s="38">
        <f>SUM(D41:D48)</f>
        <v>0</v>
      </c>
      <c r="E49" s="38">
        <f>SUM(E41:E48)</f>
        <v>0</v>
      </c>
      <c r="G49" s="50">
        <f>SUM(G41:G48)</f>
        <v>0</v>
      </c>
    </row>
    <row r="50" spans="1:7">
      <c r="C50" s="38"/>
      <c r="D50" s="38"/>
      <c r="E50" s="38"/>
      <c r="G50" s="50"/>
    </row>
    <row r="51" spans="1:7">
      <c r="A51" s="31" t="s">
        <v>300</v>
      </c>
      <c r="C51" s="38"/>
      <c r="D51" s="38"/>
      <c r="E51" s="38"/>
      <c r="G51" s="50"/>
    </row>
    <row r="52" spans="1:7">
      <c r="A52" s="31" t="s">
        <v>301</v>
      </c>
      <c r="C52" s="38"/>
      <c r="D52" s="38"/>
      <c r="E52" s="38"/>
      <c r="G52" s="50"/>
    </row>
    <row r="53" spans="1:7">
      <c r="A53" s="31" t="s">
        <v>229</v>
      </c>
      <c r="B53" s="31" t="s">
        <v>389</v>
      </c>
      <c r="C53" s="38"/>
      <c r="D53" s="38"/>
      <c r="E53" s="38"/>
      <c r="G53" s="60">
        <f t="shared" ref="G53:G65" si="2">SUM(C53:D53)</f>
        <v>0</v>
      </c>
    </row>
    <row r="54" spans="1:7">
      <c r="A54" s="31" t="s">
        <v>230</v>
      </c>
      <c r="B54" s="31" t="s">
        <v>390</v>
      </c>
      <c r="C54" s="38"/>
      <c r="D54" s="38"/>
      <c r="E54" s="38"/>
      <c r="G54" s="60">
        <f t="shared" si="2"/>
        <v>0</v>
      </c>
    </row>
    <row r="55" spans="1:7">
      <c r="A55" s="31" t="s">
        <v>231</v>
      </c>
      <c r="B55" s="31" t="s">
        <v>391</v>
      </c>
      <c r="C55" s="38"/>
      <c r="D55" s="38"/>
      <c r="E55" s="38"/>
      <c r="G55" s="60">
        <f t="shared" si="2"/>
        <v>0</v>
      </c>
    </row>
    <row r="56" spans="1:7">
      <c r="A56" s="31" t="s">
        <v>232</v>
      </c>
      <c r="B56" s="31" t="s">
        <v>302</v>
      </c>
      <c r="C56" s="38"/>
      <c r="D56" s="38"/>
      <c r="E56" s="38"/>
      <c r="G56" s="60">
        <f t="shared" si="2"/>
        <v>0</v>
      </c>
    </row>
    <row r="57" spans="1:7">
      <c r="A57" s="31" t="s">
        <v>233</v>
      </c>
      <c r="B57" s="31" t="s">
        <v>303</v>
      </c>
      <c r="C57" s="38"/>
      <c r="D57" s="38"/>
      <c r="E57" s="38"/>
      <c r="G57" s="60">
        <f t="shared" si="2"/>
        <v>0</v>
      </c>
    </row>
    <row r="58" spans="1:7">
      <c r="A58" s="31" t="s">
        <v>0</v>
      </c>
      <c r="B58" s="31" t="s">
        <v>304</v>
      </c>
      <c r="C58" s="38"/>
      <c r="D58" s="38"/>
      <c r="E58" s="38"/>
      <c r="G58" s="60">
        <f t="shared" si="2"/>
        <v>0</v>
      </c>
    </row>
    <row r="59" spans="1:7">
      <c r="A59" s="31" t="s">
        <v>1</v>
      </c>
      <c r="B59" s="31" t="s">
        <v>305</v>
      </c>
      <c r="C59" s="38"/>
      <c r="D59" s="38"/>
      <c r="E59" s="38"/>
      <c r="G59" s="60">
        <f t="shared" si="2"/>
        <v>0</v>
      </c>
    </row>
    <row r="60" spans="1:7">
      <c r="A60" s="31" t="s">
        <v>3</v>
      </c>
      <c r="B60" s="31" t="s">
        <v>2</v>
      </c>
      <c r="C60" s="38"/>
      <c r="D60" s="38"/>
      <c r="E60" s="38"/>
      <c r="G60" s="60">
        <f t="shared" si="2"/>
        <v>0</v>
      </c>
    </row>
    <row r="61" spans="1:7">
      <c r="A61" s="31" t="s">
        <v>4</v>
      </c>
      <c r="B61" s="31" t="s">
        <v>5</v>
      </c>
      <c r="C61" s="38"/>
      <c r="D61" s="38"/>
      <c r="E61" s="38"/>
      <c r="G61" s="60">
        <f t="shared" si="2"/>
        <v>0</v>
      </c>
    </row>
    <row r="62" spans="1:7">
      <c r="A62" s="31" t="s">
        <v>6</v>
      </c>
      <c r="B62" s="31" t="s">
        <v>7</v>
      </c>
      <c r="C62" s="38"/>
      <c r="D62" s="38"/>
      <c r="E62" s="38"/>
      <c r="G62" s="60">
        <f t="shared" si="2"/>
        <v>0</v>
      </c>
    </row>
    <row r="63" spans="1:7">
      <c r="A63" s="31" t="s">
        <v>8</v>
      </c>
      <c r="B63" s="31" t="s">
        <v>9</v>
      </c>
      <c r="C63" s="38"/>
      <c r="D63" s="38"/>
      <c r="E63" s="38"/>
      <c r="G63" s="60">
        <f t="shared" si="2"/>
        <v>0</v>
      </c>
    </row>
    <row r="64" spans="1:7">
      <c r="A64" s="31" t="s">
        <v>11</v>
      </c>
      <c r="B64" s="31" t="s">
        <v>307</v>
      </c>
      <c r="C64" s="38"/>
      <c r="D64" s="38"/>
      <c r="E64" s="38"/>
      <c r="G64" s="60">
        <f t="shared" si="2"/>
        <v>0</v>
      </c>
    </row>
    <row r="65" spans="1:7">
      <c r="A65" s="31" t="s">
        <v>10</v>
      </c>
      <c r="B65" s="31" t="s">
        <v>306</v>
      </c>
      <c r="C65" s="39"/>
      <c r="D65" s="39"/>
      <c r="E65" s="39"/>
      <c r="G65" s="59">
        <f t="shared" si="2"/>
        <v>0</v>
      </c>
    </row>
    <row r="66" spans="1:7">
      <c r="B66" s="31" t="s">
        <v>308</v>
      </c>
      <c r="C66" s="38">
        <f>SUM(C53:C65)</f>
        <v>0</v>
      </c>
      <c r="D66" s="38">
        <f>SUM(D53:D65)</f>
        <v>0</v>
      </c>
      <c r="E66" s="38">
        <f>SUM(E53:E65)</f>
        <v>0</v>
      </c>
      <c r="G66" s="50">
        <f>SUM(G53:G65)</f>
        <v>0</v>
      </c>
    </row>
    <row r="67" spans="1:7">
      <c r="C67" s="38"/>
      <c r="D67" s="38"/>
      <c r="E67" s="38"/>
      <c r="G67" s="50"/>
    </row>
    <row r="68" spans="1:7" s="4" customFormat="1">
      <c r="A68" s="35"/>
      <c r="B68" s="35" t="s">
        <v>309</v>
      </c>
      <c r="C68" s="40">
        <f>SUM(C38+C49+C66)</f>
        <v>74700</v>
      </c>
      <c r="D68" s="40">
        <f>SUM(D38+D49+D66)</f>
        <v>33750</v>
      </c>
      <c r="E68" s="40">
        <f>SUM(E38+E49+E66)</f>
        <v>33750</v>
      </c>
      <c r="G68" s="40">
        <f t="shared" ref="G68" si="3">+G66+G49+G38</f>
        <v>108450</v>
      </c>
    </row>
    <row r="69" spans="1:7">
      <c r="C69" s="38"/>
      <c r="D69" s="38"/>
      <c r="E69" s="38"/>
      <c r="G69" s="50"/>
    </row>
    <row r="70" spans="1:7">
      <c r="A70" s="31" t="s">
        <v>310</v>
      </c>
      <c r="C70" s="38"/>
      <c r="D70" s="38"/>
      <c r="E70" s="38"/>
      <c r="G70" s="50"/>
    </row>
    <row r="71" spans="1:7">
      <c r="A71" s="31" t="s">
        <v>311</v>
      </c>
      <c r="C71" s="38"/>
      <c r="D71" s="38"/>
      <c r="E71" s="38"/>
      <c r="G71" s="50"/>
    </row>
    <row r="72" spans="1:7">
      <c r="A72" s="31" t="s">
        <v>19</v>
      </c>
      <c r="B72" s="31" t="s">
        <v>320</v>
      </c>
      <c r="C72" s="38"/>
      <c r="D72" s="38"/>
      <c r="E72" s="38"/>
      <c r="G72" s="60">
        <f t="shared" ref="G72:G79" si="4">SUM(C72:D72)</f>
        <v>0</v>
      </c>
    </row>
    <row r="73" spans="1:7">
      <c r="A73" s="31" t="s">
        <v>12</v>
      </c>
      <c r="B73" s="31" t="s">
        <v>312</v>
      </c>
      <c r="C73" s="47">
        <f>C7*13.5*19*36*1.03</f>
        <v>28533.06</v>
      </c>
      <c r="D73" s="47">
        <f>D7*13.5*19*36*1.03</f>
        <v>19022.04</v>
      </c>
      <c r="E73" s="47">
        <f>E7*13.5*19*36*1.03</f>
        <v>19022.04</v>
      </c>
      <c r="G73" s="60">
        <f t="shared" si="4"/>
        <v>47555.100000000006</v>
      </c>
    </row>
    <row r="74" spans="1:7">
      <c r="A74" s="31" t="s">
        <v>13</v>
      </c>
      <c r="B74" s="31" t="s">
        <v>313</v>
      </c>
      <c r="C74" s="38"/>
      <c r="D74" s="38"/>
      <c r="E74" s="38"/>
      <c r="G74" s="60">
        <f t="shared" si="4"/>
        <v>0</v>
      </c>
    </row>
    <row r="75" spans="1:7">
      <c r="A75" s="31" t="s">
        <v>14</v>
      </c>
      <c r="B75" s="31" t="s">
        <v>314</v>
      </c>
      <c r="C75" s="38"/>
      <c r="D75" s="38"/>
      <c r="E75" s="38"/>
      <c r="G75" s="60">
        <f t="shared" si="4"/>
        <v>0</v>
      </c>
    </row>
    <row r="76" spans="1:7">
      <c r="A76" s="31" t="s">
        <v>15</v>
      </c>
      <c r="B76" s="31" t="s">
        <v>315</v>
      </c>
      <c r="C76" s="38"/>
      <c r="D76" s="38"/>
      <c r="E76" s="38"/>
      <c r="G76" s="60">
        <f t="shared" si="4"/>
        <v>0</v>
      </c>
    </row>
    <row r="77" spans="1:7">
      <c r="A77" s="31" t="s">
        <v>16</v>
      </c>
      <c r="B77" s="31" t="s">
        <v>316</v>
      </c>
      <c r="C77" s="38"/>
      <c r="D77" s="38"/>
      <c r="E77" s="38"/>
      <c r="G77" s="60">
        <f t="shared" si="4"/>
        <v>0</v>
      </c>
    </row>
    <row r="78" spans="1:7">
      <c r="A78" s="31" t="s">
        <v>17</v>
      </c>
      <c r="B78" s="31" t="s">
        <v>317</v>
      </c>
      <c r="C78" s="38"/>
      <c r="D78" s="38"/>
      <c r="E78" s="38"/>
      <c r="G78" s="60">
        <f t="shared" si="4"/>
        <v>0</v>
      </c>
    </row>
    <row r="79" spans="1:7" ht="14.25" customHeight="1">
      <c r="A79" s="31" t="s">
        <v>18</v>
      </c>
      <c r="B79" s="31" t="s">
        <v>319</v>
      </c>
      <c r="C79" s="39"/>
      <c r="D79" s="39"/>
      <c r="E79" s="39"/>
      <c r="G79" s="59">
        <f t="shared" si="4"/>
        <v>0</v>
      </c>
    </row>
    <row r="80" spans="1:7">
      <c r="B80" s="31" t="s">
        <v>24</v>
      </c>
      <c r="C80" s="38">
        <f>SUM(C72:C79)</f>
        <v>28533.06</v>
      </c>
      <c r="D80" s="38">
        <f>SUM(D72:D79)</f>
        <v>19022.04</v>
      </c>
      <c r="E80" s="38">
        <f>SUM(E72:E79)</f>
        <v>19022.04</v>
      </c>
      <c r="G80" s="50">
        <f>SUM(G72:G79)</f>
        <v>47555.100000000006</v>
      </c>
    </row>
    <row r="81" spans="1:7">
      <c r="C81" s="38"/>
      <c r="D81" s="38"/>
      <c r="E81" s="38"/>
      <c r="G81" s="50"/>
    </row>
    <row r="82" spans="1:7">
      <c r="C82" s="38"/>
      <c r="D82" s="38"/>
      <c r="E82" s="38"/>
      <c r="G82" s="50"/>
    </row>
    <row r="83" spans="1:7">
      <c r="A83" s="36" t="s">
        <v>322</v>
      </c>
      <c r="C83" s="38"/>
      <c r="D83" s="38"/>
      <c r="E83" s="38"/>
      <c r="G83" s="50"/>
    </row>
    <row r="84" spans="1:7">
      <c r="A84" s="31" t="s">
        <v>20</v>
      </c>
      <c r="B84" s="31" t="s">
        <v>321</v>
      </c>
      <c r="C84" s="38"/>
      <c r="D84" s="38"/>
      <c r="E84" s="38"/>
      <c r="G84" s="60">
        <f t="shared" ref="G84:G87" si="5">SUM(C84:D84)</f>
        <v>0</v>
      </c>
    </row>
    <row r="85" spans="1:7">
      <c r="A85" s="31" t="s">
        <v>21</v>
      </c>
      <c r="B85" s="31" t="s">
        <v>322</v>
      </c>
      <c r="C85" s="38"/>
      <c r="D85" s="38"/>
      <c r="E85" s="38"/>
      <c r="G85" s="60">
        <f t="shared" si="5"/>
        <v>0</v>
      </c>
    </row>
    <row r="86" spans="1:7">
      <c r="A86" s="31" t="s">
        <v>406</v>
      </c>
      <c r="B86" s="31" t="s">
        <v>407</v>
      </c>
      <c r="C86" s="38"/>
      <c r="D86" s="38"/>
      <c r="E86" s="38"/>
      <c r="G86" s="60">
        <f t="shared" si="5"/>
        <v>0</v>
      </c>
    </row>
    <row r="87" spans="1:7">
      <c r="A87" s="31" t="s">
        <v>22</v>
      </c>
      <c r="B87" s="31" t="s">
        <v>23</v>
      </c>
      <c r="C87" s="39"/>
      <c r="D87" s="39"/>
      <c r="E87" s="39"/>
      <c r="G87" s="59">
        <f t="shared" si="5"/>
        <v>0</v>
      </c>
    </row>
    <row r="88" spans="1:7">
      <c r="B88" s="31" t="s">
        <v>323</v>
      </c>
      <c r="C88" s="38">
        <f>SUM(C84:C87)</f>
        <v>0</v>
      </c>
      <c r="D88" s="38">
        <f>SUM(D84:D87)</f>
        <v>0</v>
      </c>
      <c r="E88" s="38">
        <f>SUM(E84:E87)</f>
        <v>0</v>
      </c>
      <c r="G88" s="50">
        <f>SUM(G84:G87)</f>
        <v>0</v>
      </c>
    </row>
    <row r="89" spans="1:7">
      <c r="C89" s="38"/>
      <c r="D89" s="38"/>
      <c r="E89" s="38"/>
      <c r="G89" s="50"/>
    </row>
    <row r="90" spans="1:7">
      <c r="B90" s="31" t="s">
        <v>324</v>
      </c>
      <c r="C90" s="38">
        <f>SUM(C80+C88)</f>
        <v>28533.06</v>
      </c>
      <c r="D90" s="38">
        <f>SUM(D80+D88)</f>
        <v>19022.04</v>
      </c>
      <c r="E90" s="38">
        <f>SUM(E80+E88)</f>
        <v>19022.04</v>
      </c>
      <c r="G90" s="40">
        <f>+G80+G88</f>
        <v>47555.100000000006</v>
      </c>
    </row>
    <row r="91" spans="1:7">
      <c r="C91" s="38"/>
      <c r="D91" s="38"/>
      <c r="E91" s="38"/>
      <c r="G91" s="50"/>
    </row>
    <row r="92" spans="1:7">
      <c r="A92" s="31" t="s">
        <v>325</v>
      </c>
      <c r="C92" s="38"/>
      <c r="D92" s="38"/>
      <c r="E92" s="38"/>
      <c r="G92" s="50"/>
    </row>
    <row r="93" spans="1:7">
      <c r="A93" s="31" t="s">
        <v>25</v>
      </c>
      <c r="B93" s="31" t="s">
        <v>33</v>
      </c>
      <c r="C93" s="38"/>
      <c r="D93" s="38"/>
      <c r="E93" s="38"/>
      <c r="G93" s="60">
        <f t="shared" ref="G93:G101" si="6">SUM(C93:D93)</f>
        <v>0</v>
      </c>
    </row>
    <row r="94" spans="1:7">
      <c r="A94" s="31" t="s">
        <v>26</v>
      </c>
      <c r="B94" s="31" t="s">
        <v>34</v>
      </c>
      <c r="C94" s="38"/>
      <c r="D94" s="38"/>
      <c r="E94" s="38"/>
      <c r="G94" s="60">
        <f t="shared" si="6"/>
        <v>0</v>
      </c>
    </row>
    <row r="95" spans="1:7">
      <c r="A95" s="31" t="s">
        <v>28</v>
      </c>
      <c r="B95" s="31" t="s">
        <v>27</v>
      </c>
      <c r="C95" s="38">
        <f>(+C$88-C$84+C$80)*0.062</f>
        <v>1769.04972</v>
      </c>
      <c r="D95" s="38">
        <f>(+D$88-D$84+D$80)*0.062</f>
        <v>1179.3664800000001</v>
      </c>
      <c r="E95" s="38">
        <f>(+E$88-E$84+E$80)*0.062</f>
        <v>1179.3664800000001</v>
      </c>
      <c r="G95" s="60">
        <f t="shared" si="6"/>
        <v>2948.4162000000001</v>
      </c>
    </row>
    <row r="96" spans="1:7">
      <c r="A96" s="31" t="s">
        <v>30</v>
      </c>
      <c r="B96" s="31" t="s">
        <v>29</v>
      </c>
      <c r="C96" s="38">
        <f>(+C$88-C$84+C$80)*0.0145</f>
        <v>413.72937000000002</v>
      </c>
      <c r="D96" s="38">
        <f>(+D$88-D$84+D$80)*0.0145</f>
        <v>275.81958000000003</v>
      </c>
      <c r="E96" s="38">
        <f>(+E$88-E$84+E$80)*0.0145</f>
        <v>275.81958000000003</v>
      </c>
      <c r="G96" s="60">
        <f t="shared" si="6"/>
        <v>689.5489500000001</v>
      </c>
    </row>
    <row r="97" spans="1:7">
      <c r="A97" s="31" t="s">
        <v>31</v>
      </c>
      <c r="B97" s="31" t="s">
        <v>32</v>
      </c>
      <c r="C97" s="38">
        <f>(+C$88-C$84+C$80)*0.06*0.5</f>
        <v>855.99180000000001</v>
      </c>
      <c r="D97" s="38">
        <f>(+D$88-D$84+D$80)*0.06*0.5</f>
        <v>570.66120000000001</v>
      </c>
      <c r="E97" s="38">
        <f>(+E$88-E$84+E$80)*0.06*0.5</f>
        <v>570.66120000000001</v>
      </c>
      <c r="G97" s="60">
        <f t="shared" si="6"/>
        <v>1426.653</v>
      </c>
    </row>
    <row r="98" spans="1:7">
      <c r="A98" s="31" t="s">
        <v>36</v>
      </c>
      <c r="B98" s="31" t="s">
        <v>35</v>
      </c>
      <c r="C98" s="38">
        <f>(+C$88-C$84+C$80)*0.0056</f>
        <v>159.78513599999999</v>
      </c>
      <c r="D98" s="38">
        <f>(+D$88-D$84+D$80)*0.0056</f>
        <v>106.52342400000001</v>
      </c>
      <c r="E98" s="38">
        <f>(+E$88-E$84+E$80)*0.0056</f>
        <v>106.52342400000001</v>
      </c>
      <c r="G98" s="60">
        <f t="shared" si="6"/>
        <v>266.30856</v>
      </c>
    </row>
    <row r="99" spans="1:7">
      <c r="A99" s="31" t="s">
        <v>38</v>
      </c>
      <c r="B99" s="31" t="s">
        <v>37</v>
      </c>
      <c r="C99" s="38">
        <f>+C$7*7700*0.0201</f>
        <v>464.31</v>
      </c>
      <c r="D99" s="38">
        <f>+D$7*7700*0.0201</f>
        <v>309.54000000000002</v>
      </c>
      <c r="E99" s="38">
        <f>+E$7*7700*0.0201</f>
        <v>309.54000000000002</v>
      </c>
      <c r="G99" s="60">
        <f t="shared" si="6"/>
        <v>773.85</v>
      </c>
    </row>
    <row r="100" spans="1:7">
      <c r="A100" s="31" t="s">
        <v>83</v>
      </c>
      <c r="B100" s="31" t="s">
        <v>84</v>
      </c>
      <c r="C100" s="38"/>
      <c r="D100" s="38"/>
      <c r="E100" s="38"/>
      <c r="G100" s="60">
        <f t="shared" si="6"/>
        <v>0</v>
      </c>
    </row>
    <row r="101" spans="1:7">
      <c r="A101" s="31" t="s">
        <v>39</v>
      </c>
      <c r="B101" s="31" t="s">
        <v>40</v>
      </c>
      <c r="C101" s="39">
        <f>(+C$88-C$84+C$80)*(0.0024+0.0036+0.0013)</f>
        <v>208.29133800000002</v>
      </c>
      <c r="D101" s="39">
        <f>(+D$88-D$84+D$80)*(0.0024+0.0036+0.0013)</f>
        <v>138.86089200000001</v>
      </c>
      <c r="E101" s="39">
        <f>(+E$88-E$84+E$80)*(0.0024+0.0036+0.0013)</f>
        <v>138.86089200000001</v>
      </c>
      <c r="G101" s="59">
        <f t="shared" si="6"/>
        <v>347.15223000000003</v>
      </c>
    </row>
    <row r="102" spans="1:7">
      <c r="B102" s="31" t="s">
        <v>234</v>
      </c>
      <c r="C102" s="38">
        <f>SUM(C93:C101)</f>
        <v>3871.1573639999997</v>
      </c>
      <c r="D102" s="38">
        <f>SUM(D93:D101)</f>
        <v>2580.7715760000006</v>
      </c>
      <c r="E102" s="38">
        <f>SUM(E93:E101)</f>
        <v>2580.7715760000006</v>
      </c>
      <c r="G102" s="50">
        <f>SUM(G93:G101)</f>
        <v>6451.9289400000007</v>
      </c>
    </row>
    <row r="103" spans="1:7">
      <c r="C103" s="38"/>
      <c r="D103" s="38"/>
      <c r="E103" s="38"/>
      <c r="G103" s="50"/>
    </row>
    <row r="104" spans="1:7" s="4" customFormat="1">
      <c r="A104" s="35"/>
      <c r="B104" s="35" t="s">
        <v>235</v>
      </c>
      <c r="C104" s="40">
        <f>SUM(C90+C102)</f>
        <v>32404.217364</v>
      </c>
      <c r="D104" s="40">
        <f>SUM(D90+D102)</f>
        <v>21602.811576</v>
      </c>
      <c r="E104" s="40">
        <f>SUM(E90+E102)</f>
        <v>21602.811576</v>
      </c>
      <c r="G104" s="40">
        <f>+G90+G102</f>
        <v>54007.028940000004</v>
      </c>
    </row>
    <row r="105" spans="1:7">
      <c r="C105" s="38"/>
      <c r="D105" s="38"/>
      <c r="E105" s="38"/>
      <c r="G105" s="50"/>
    </row>
    <row r="106" spans="1:7">
      <c r="A106" s="31" t="s">
        <v>236</v>
      </c>
      <c r="C106" s="38"/>
      <c r="D106" s="38"/>
      <c r="E106" s="38"/>
      <c r="G106" s="50"/>
    </row>
    <row r="107" spans="1:7">
      <c r="A107" s="31" t="s">
        <v>237</v>
      </c>
      <c r="C107" s="38"/>
      <c r="D107" s="38"/>
      <c r="E107" s="38"/>
      <c r="G107" s="50"/>
    </row>
    <row r="108" spans="1:7">
      <c r="A108" s="31" t="s">
        <v>51</v>
      </c>
      <c r="B108" s="31" t="s">
        <v>50</v>
      </c>
      <c r="C108" s="38"/>
      <c r="D108" s="38"/>
      <c r="E108" s="38"/>
      <c r="G108" s="60">
        <f t="shared" ref="G108:G121" si="7">SUM(C108:D108)</f>
        <v>0</v>
      </c>
    </row>
    <row r="109" spans="1:7">
      <c r="A109" s="31" t="s">
        <v>41</v>
      </c>
      <c r="B109" s="31" t="s">
        <v>42</v>
      </c>
      <c r="C109" s="38"/>
      <c r="D109" s="38"/>
      <c r="E109" s="38"/>
      <c r="G109" s="60">
        <f t="shared" si="7"/>
        <v>0</v>
      </c>
    </row>
    <row r="110" spans="1:7">
      <c r="A110" s="31" t="s">
        <v>43</v>
      </c>
      <c r="B110" s="31" t="s">
        <v>238</v>
      </c>
      <c r="C110" s="38"/>
      <c r="D110" s="38"/>
      <c r="E110" s="38"/>
      <c r="G110" s="60">
        <f t="shared" si="7"/>
        <v>0</v>
      </c>
    </row>
    <row r="111" spans="1:7">
      <c r="A111" s="31" t="s">
        <v>44</v>
      </c>
      <c r="B111" s="31" t="s">
        <v>45</v>
      </c>
      <c r="C111" s="38"/>
      <c r="D111" s="38"/>
      <c r="E111" s="38"/>
      <c r="G111" s="60">
        <f t="shared" si="7"/>
        <v>0</v>
      </c>
    </row>
    <row r="112" spans="1:7">
      <c r="A112" s="31" t="s">
        <v>46</v>
      </c>
      <c r="B112" s="31" t="s">
        <v>239</v>
      </c>
      <c r="C112" s="38"/>
      <c r="D112" s="38"/>
      <c r="E112" s="38"/>
      <c r="G112" s="60">
        <f t="shared" si="7"/>
        <v>0</v>
      </c>
    </row>
    <row r="113" spans="1:7">
      <c r="A113" s="31" t="s">
        <v>47</v>
      </c>
      <c r="B113" s="31" t="s">
        <v>240</v>
      </c>
      <c r="C113" s="38"/>
      <c r="D113" s="38"/>
      <c r="E113" s="38"/>
      <c r="G113" s="60">
        <f t="shared" si="7"/>
        <v>0</v>
      </c>
    </row>
    <row r="114" spans="1:7">
      <c r="A114" s="31" t="s">
        <v>48</v>
      </c>
      <c r="B114" s="31" t="s">
        <v>49</v>
      </c>
      <c r="C114" s="38"/>
      <c r="D114" s="38"/>
      <c r="E114" s="38"/>
      <c r="G114" s="60">
        <f t="shared" si="7"/>
        <v>0</v>
      </c>
    </row>
    <row r="115" spans="1:7">
      <c r="A115" s="31" t="s">
        <v>82</v>
      </c>
      <c r="B115" s="31" t="s">
        <v>166</v>
      </c>
      <c r="C115" s="38"/>
      <c r="D115" s="38"/>
      <c r="E115" s="38"/>
      <c r="G115" s="60">
        <f t="shared" si="7"/>
        <v>0</v>
      </c>
    </row>
    <row r="116" spans="1:7">
      <c r="A116" s="31" t="s">
        <v>104</v>
      </c>
      <c r="B116" s="31" t="s">
        <v>103</v>
      </c>
      <c r="C116" s="38"/>
      <c r="D116" s="38"/>
      <c r="E116" s="38"/>
      <c r="G116" s="60">
        <f t="shared" si="7"/>
        <v>0</v>
      </c>
    </row>
    <row r="117" spans="1:7">
      <c r="A117" s="31" t="s">
        <v>59</v>
      </c>
      <c r="B117" s="31" t="s">
        <v>318</v>
      </c>
      <c r="C117" s="38"/>
      <c r="D117" s="38"/>
      <c r="E117" s="38"/>
      <c r="G117" s="60">
        <f t="shared" si="7"/>
        <v>0</v>
      </c>
    </row>
    <row r="118" spans="1:7">
      <c r="A118" s="31" t="s">
        <v>87</v>
      </c>
      <c r="B118" s="31" t="s">
        <v>88</v>
      </c>
      <c r="C118" s="38"/>
      <c r="D118" s="38"/>
      <c r="E118" s="38"/>
      <c r="G118" s="60">
        <f t="shared" si="7"/>
        <v>0</v>
      </c>
    </row>
    <row r="119" spans="1:7">
      <c r="A119" s="31" t="s">
        <v>89</v>
      </c>
      <c r="B119" s="31" t="s">
        <v>90</v>
      </c>
      <c r="C119" s="38"/>
      <c r="D119" s="38"/>
      <c r="E119" s="38"/>
      <c r="G119" s="60">
        <f t="shared" si="7"/>
        <v>0</v>
      </c>
    </row>
    <row r="120" spans="1:7">
      <c r="A120" s="31" t="s">
        <v>413</v>
      </c>
      <c r="B120" s="31" t="s">
        <v>414</v>
      </c>
      <c r="C120" s="38"/>
      <c r="D120" s="38"/>
      <c r="E120" s="38"/>
      <c r="G120" s="60">
        <f t="shared" si="7"/>
        <v>0</v>
      </c>
    </row>
    <row r="121" spans="1:7">
      <c r="A121" s="31" t="s">
        <v>52</v>
      </c>
      <c r="B121" s="31" t="s">
        <v>53</v>
      </c>
      <c r="C121" s="39">
        <f>1500*9</f>
        <v>13500</v>
      </c>
      <c r="D121" s="89">
        <v>4500</v>
      </c>
      <c r="E121" s="89">
        <v>5500</v>
      </c>
      <c r="G121" s="59">
        <f t="shared" si="7"/>
        <v>18000</v>
      </c>
    </row>
    <row r="122" spans="1:7">
      <c r="B122" s="31" t="s">
        <v>241</v>
      </c>
      <c r="C122" s="38">
        <f>SUM(C108:C121)</f>
        <v>13500</v>
      </c>
      <c r="D122" s="38">
        <f>SUM(D108:D121)</f>
        <v>4500</v>
      </c>
      <c r="E122" s="38">
        <f>SUM(E108:E121)</f>
        <v>5500</v>
      </c>
      <c r="G122" s="50">
        <f>SUM(G108:G121)</f>
        <v>18000</v>
      </c>
    </row>
    <row r="123" spans="1:7">
      <c r="C123" s="38"/>
      <c r="D123" s="38"/>
      <c r="E123" s="38"/>
      <c r="G123" s="50"/>
    </row>
    <row r="124" spans="1:7">
      <c r="A124" s="31" t="s">
        <v>242</v>
      </c>
      <c r="C124" s="38"/>
      <c r="D124" s="38"/>
      <c r="E124" s="38"/>
      <c r="G124" s="50"/>
    </row>
    <row r="125" spans="1:7">
      <c r="A125" s="31" t="s">
        <v>56</v>
      </c>
      <c r="B125" s="31" t="s">
        <v>245</v>
      </c>
      <c r="C125" s="38"/>
      <c r="D125" s="38"/>
      <c r="E125" s="38"/>
      <c r="G125" s="60">
        <f t="shared" ref="G125:G132" si="8">SUM(C125:D125)</f>
        <v>0</v>
      </c>
    </row>
    <row r="126" spans="1:7">
      <c r="A126" s="31" t="s">
        <v>57</v>
      </c>
      <c r="B126" s="31" t="s">
        <v>246</v>
      </c>
      <c r="C126" s="38"/>
      <c r="D126" s="38"/>
      <c r="E126" s="38"/>
      <c r="G126" s="60">
        <f t="shared" si="8"/>
        <v>0</v>
      </c>
    </row>
    <row r="127" spans="1:7">
      <c r="A127" s="31" t="s">
        <v>58</v>
      </c>
      <c r="B127" s="31" t="s">
        <v>247</v>
      </c>
      <c r="C127" s="38"/>
      <c r="D127" s="38"/>
      <c r="E127" s="38"/>
      <c r="G127" s="60">
        <f t="shared" si="8"/>
        <v>0</v>
      </c>
    </row>
    <row r="128" spans="1:7">
      <c r="A128" s="31" t="s">
        <v>55</v>
      </c>
      <c r="B128" s="31" t="s">
        <v>244</v>
      </c>
      <c r="C128" s="38"/>
      <c r="D128" s="38"/>
      <c r="E128" s="38"/>
      <c r="G128" s="60">
        <f t="shared" si="8"/>
        <v>0</v>
      </c>
    </row>
    <row r="129" spans="1:7" ht="10.5" customHeight="1">
      <c r="A129" s="31" t="s">
        <v>54</v>
      </c>
      <c r="B129" s="31" t="s">
        <v>243</v>
      </c>
      <c r="C129" s="38"/>
      <c r="D129" s="38"/>
      <c r="E129" s="38"/>
      <c r="G129" s="60">
        <f t="shared" si="8"/>
        <v>0</v>
      </c>
    </row>
    <row r="130" spans="1:7">
      <c r="A130" s="31" t="s">
        <v>60</v>
      </c>
      <c r="B130" s="31" t="s">
        <v>61</v>
      </c>
      <c r="C130" s="38"/>
      <c r="D130" s="38"/>
      <c r="E130" s="38"/>
      <c r="G130" s="60">
        <f t="shared" si="8"/>
        <v>0</v>
      </c>
    </row>
    <row r="131" spans="1:7">
      <c r="A131" s="31" t="s">
        <v>411</v>
      </c>
      <c r="B131" s="31" t="s">
        <v>412</v>
      </c>
      <c r="C131" s="38"/>
      <c r="D131" s="38"/>
      <c r="E131" s="38"/>
      <c r="G131" s="60">
        <f t="shared" si="8"/>
        <v>0</v>
      </c>
    </row>
    <row r="132" spans="1:7">
      <c r="A132" s="31" t="s">
        <v>62</v>
      </c>
      <c r="B132" s="31" t="s">
        <v>248</v>
      </c>
      <c r="C132" s="39"/>
      <c r="D132" s="39"/>
      <c r="E132" s="39"/>
      <c r="G132" s="59">
        <f t="shared" si="8"/>
        <v>0</v>
      </c>
    </row>
    <row r="133" spans="1:7">
      <c r="B133" s="31" t="s">
        <v>249</v>
      </c>
      <c r="C133" s="38">
        <f>SUM(C125:C132)</f>
        <v>0</v>
      </c>
      <c r="D133" s="38">
        <f>SUM(D125:D132)</f>
        <v>0</v>
      </c>
      <c r="E133" s="38">
        <f>SUM(E125:E132)</f>
        <v>0</v>
      </c>
      <c r="G133" s="50">
        <f>SUM(G125:G132)</f>
        <v>0</v>
      </c>
    </row>
    <row r="134" spans="1:7">
      <c r="C134" s="38"/>
      <c r="D134" s="38"/>
      <c r="E134" s="38"/>
      <c r="G134" s="50"/>
    </row>
    <row r="135" spans="1:7">
      <c r="A135" s="31" t="s">
        <v>250</v>
      </c>
      <c r="C135" s="38"/>
      <c r="D135" s="38"/>
      <c r="E135" s="38"/>
      <c r="G135" s="50"/>
    </row>
    <row r="136" spans="1:7">
      <c r="A136" s="31" t="s">
        <v>251</v>
      </c>
      <c r="C136" s="38"/>
      <c r="D136" s="38"/>
      <c r="E136" s="38"/>
      <c r="G136" s="50"/>
    </row>
    <row r="137" spans="1:7">
      <c r="A137" s="31" t="s">
        <v>63</v>
      </c>
      <c r="B137" s="31" t="s">
        <v>252</v>
      </c>
      <c r="C137" s="38"/>
      <c r="D137" s="38"/>
      <c r="E137" s="38"/>
      <c r="G137" s="60">
        <f t="shared" ref="G137:G140" si="9">SUM(C137:D137)</f>
        <v>0</v>
      </c>
    </row>
    <row r="138" spans="1:7">
      <c r="A138" s="31" t="s">
        <v>64</v>
      </c>
      <c r="B138" s="31" t="s">
        <v>253</v>
      </c>
      <c r="C138" s="38"/>
      <c r="D138" s="38"/>
      <c r="E138" s="38"/>
      <c r="G138" s="60">
        <f t="shared" si="9"/>
        <v>0</v>
      </c>
    </row>
    <row r="139" spans="1:7">
      <c r="A139" s="31" t="s">
        <v>417</v>
      </c>
      <c r="B139" s="31" t="s">
        <v>418</v>
      </c>
      <c r="C139" s="38"/>
      <c r="D139" s="38"/>
      <c r="E139" s="38"/>
      <c r="G139" s="60">
        <f t="shared" si="9"/>
        <v>0</v>
      </c>
    </row>
    <row r="140" spans="1:7">
      <c r="A140" s="31" t="s">
        <v>65</v>
      </c>
      <c r="B140" s="31" t="s">
        <v>254</v>
      </c>
      <c r="C140" s="39"/>
      <c r="D140" s="39"/>
      <c r="E140" s="39"/>
      <c r="G140" s="59">
        <f t="shared" si="9"/>
        <v>0</v>
      </c>
    </row>
    <row r="141" spans="1:7">
      <c r="B141" s="31" t="s">
        <v>255</v>
      </c>
      <c r="C141" s="38">
        <f>SUM(C137:C140)</f>
        <v>0</v>
      </c>
      <c r="D141" s="38">
        <f>SUM(D137:D140)</f>
        <v>0</v>
      </c>
      <c r="E141" s="38">
        <f>SUM(E137:E140)</f>
        <v>0</v>
      </c>
      <c r="G141" s="50">
        <f>SUM(G137:G140)</f>
        <v>0</v>
      </c>
    </row>
    <row r="142" spans="1:7">
      <c r="C142" s="38"/>
      <c r="D142" s="38"/>
      <c r="E142" s="38"/>
      <c r="G142" s="50"/>
    </row>
    <row r="143" spans="1:7">
      <c r="A143" s="31" t="s">
        <v>256</v>
      </c>
      <c r="C143" s="38"/>
      <c r="D143" s="38"/>
      <c r="E143" s="38"/>
      <c r="G143" s="50"/>
    </row>
    <row r="144" spans="1:7">
      <c r="A144" s="31" t="s">
        <v>66</v>
      </c>
      <c r="B144" s="31" t="s">
        <v>257</v>
      </c>
      <c r="C144" s="38"/>
      <c r="D144" s="38"/>
      <c r="E144" s="38"/>
      <c r="G144" s="60">
        <f t="shared" ref="G144:G149" si="10">SUM(C144:D144)</f>
        <v>0</v>
      </c>
    </row>
    <row r="145" spans="1:7">
      <c r="A145" s="31" t="s">
        <v>67</v>
      </c>
      <c r="B145" s="31" t="s">
        <v>258</v>
      </c>
      <c r="C145" s="38"/>
      <c r="D145" s="38"/>
      <c r="E145" s="38"/>
      <c r="G145" s="60">
        <f t="shared" si="10"/>
        <v>0</v>
      </c>
    </row>
    <row r="146" spans="1:7">
      <c r="A146" s="31" t="s">
        <v>68</v>
      </c>
      <c r="B146" s="31" t="s">
        <v>259</v>
      </c>
      <c r="C146" s="38"/>
      <c r="D146" s="38"/>
      <c r="E146" s="38"/>
      <c r="G146" s="60">
        <f t="shared" si="10"/>
        <v>0</v>
      </c>
    </row>
    <row r="147" spans="1:7">
      <c r="A147" s="31" t="s">
        <v>69</v>
      </c>
      <c r="B147" s="31" t="s">
        <v>260</v>
      </c>
      <c r="C147" s="38"/>
      <c r="D147" s="38"/>
      <c r="E147" s="38"/>
      <c r="G147" s="60">
        <f t="shared" si="10"/>
        <v>0</v>
      </c>
    </row>
    <row r="148" spans="1:7" ht="12" customHeight="1">
      <c r="A148" s="31" t="s">
        <v>70</v>
      </c>
      <c r="B148" s="31" t="s">
        <v>261</v>
      </c>
      <c r="C148" s="38"/>
      <c r="D148" s="38"/>
      <c r="E148" s="38"/>
      <c r="G148" s="60">
        <f t="shared" si="10"/>
        <v>0</v>
      </c>
    </row>
    <row r="149" spans="1:7">
      <c r="A149" s="31" t="s">
        <v>425</v>
      </c>
      <c r="B149" s="31" t="s">
        <v>427</v>
      </c>
      <c r="C149" s="39"/>
      <c r="D149" s="39"/>
      <c r="E149" s="39"/>
      <c r="G149" s="59">
        <f t="shared" si="10"/>
        <v>0</v>
      </c>
    </row>
    <row r="150" spans="1:7">
      <c r="B150" s="31" t="s">
        <v>262</v>
      </c>
      <c r="C150" s="38">
        <f>SUM(C144:C149)</f>
        <v>0</v>
      </c>
      <c r="D150" s="38">
        <f>SUM(D144:D149)</f>
        <v>0</v>
      </c>
      <c r="E150" s="38">
        <f>SUM(E144:E149)</f>
        <v>0</v>
      </c>
      <c r="G150" s="50">
        <f>SUM(G144:G149)</f>
        <v>0</v>
      </c>
    </row>
    <row r="151" spans="1:7">
      <c r="C151" s="38"/>
      <c r="D151" s="38"/>
      <c r="E151" s="38"/>
      <c r="G151" s="50"/>
    </row>
    <row r="152" spans="1:7">
      <c r="A152" s="31" t="s">
        <v>263</v>
      </c>
      <c r="C152" s="38"/>
      <c r="D152" s="38"/>
      <c r="E152" s="38"/>
      <c r="G152" s="50"/>
    </row>
    <row r="153" spans="1:7">
      <c r="A153" s="31" t="s">
        <v>264</v>
      </c>
      <c r="C153" s="38"/>
      <c r="D153" s="38"/>
      <c r="E153" s="38"/>
      <c r="G153" s="50"/>
    </row>
    <row r="154" spans="1:7">
      <c r="A154" s="31" t="s">
        <v>71</v>
      </c>
      <c r="B154" s="31" t="s">
        <v>72</v>
      </c>
      <c r="C154" s="39"/>
      <c r="D154" s="39"/>
      <c r="E154" s="39"/>
      <c r="G154" s="59">
        <f t="shared" ref="G154" si="11">SUM(C154:D154)</f>
        <v>0</v>
      </c>
    </row>
    <row r="155" spans="1:7">
      <c r="B155" s="31" t="s">
        <v>265</v>
      </c>
      <c r="C155" s="38">
        <f>SUM(C154)</f>
        <v>0</v>
      </c>
      <c r="D155" s="38">
        <f>SUM(D154)</f>
        <v>0</v>
      </c>
      <c r="E155" s="38">
        <f>SUM(E154)</f>
        <v>0</v>
      </c>
      <c r="G155" s="50">
        <f>SUM(G154)</f>
        <v>0</v>
      </c>
    </row>
    <row r="156" spans="1:7">
      <c r="C156" s="38"/>
      <c r="D156" s="38"/>
      <c r="E156" s="38"/>
      <c r="G156" s="50"/>
    </row>
    <row r="157" spans="1:7">
      <c r="A157" s="31" t="s">
        <v>266</v>
      </c>
      <c r="C157" s="38"/>
      <c r="D157" s="38"/>
      <c r="E157" s="38"/>
      <c r="G157" s="50"/>
    </row>
    <row r="158" spans="1:7">
      <c r="A158" s="31" t="s">
        <v>73</v>
      </c>
      <c r="B158" s="31" t="s">
        <v>74</v>
      </c>
      <c r="C158" s="38">
        <v>2300</v>
      </c>
      <c r="D158" s="47">
        <f>40*D8</f>
        <v>1000</v>
      </c>
      <c r="E158" s="47">
        <f>40*E8</f>
        <v>1000</v>
      </c>
      <c r="G158" s="60">
        <f t="shared" ref="G158:G170" si="12">SUM(C158:D158)</f>
        <v>3300</v>
      </c>
    </row>
    <row r="159" spans="1:7">
      <c r="A159" s="31" t="s">
        <v>75</v>
      </c>
      <c r="B159" s="31" t="s">
        <v>154</v>
      </c>
      <c r="C159" s="38"/>
      <c r="D159" s="47"/>
      <c r="E159" s="47"/>
      <c r="G159" s="60">
        <f t="shared" si="12"/>
        <v>0</v>
      </c>
    </row>
    <row r="160" spans="1:7">
      <c r="A160" s="31" t="s">
        <v>442</v>
      </c>
      <c r="B160" s="31" t="s">
        <v>97</v>
      </c>
      <c r="C160" s="38"/>
      <c r="D160" s="47"/>
      <c r="E160" s="47"/>
      <c r="G160" s="60">
        <f t="shared" si="12"/>
        <v>0</v>
      </c>
    </row>
    <row r="161" spans="1:7">
      <c r="A161" s="31" t="s">
        <v>443</v>
      </c>
      <c r="B161" s="31" t="s">
        <v>421</v>
      </c>
      <c r="C161" s="38"/>
      <c r="D161" s="47"/>
      <c r="E161" s="47"/>
      <c r="G161" s="60">
        <f t="shared" si="12"/>
        <v>0</v>
      </c>
    </row>
    <row r="162" spans="1:7">
      <c r="A162" s="31" t="s">
        <v>444</v>
      </c>
      <c r="B162" s="31" t="s">
        <v>423</v>
      </c>
      <c r="C162" s="38"/>
      <c r="D162" s="47"/>
      <c r="E162" s="47"/>
      <c r="G162" s="60">
        <f t="shared" si="12"/>
        <v>0</v>
      </c>
    </row>
    <row r="163" spans="1:7">
      <c r="A163" s="31" t="s">
        <v>445</v>
      </c>
      <c r="B163" s="31" t="s">
        <v>416</v>
      </c>
      <c r="C163" s="38"/>
      <c r="D163" s="47"/>
      <c r="E163" s="47"/>
      <c r="G163" s="60">
        <f t="shared" si="12"/>
        <v>0</v>
      </c>
    </row>
    <row r="164" spans="1:7">
      <c r="A164" s="31" t="s">
        <v>76</v>
      </c>
      <c r="B164" s="31" t="s">
        <v>155</v>
      </c>
      <c r="C164" s="38">
        <v>6800</v>
      </c>
      <c r="D164" s="47">
        <f>100*D8</f>
        <v>2500</v>
      </c>
      <c r="E164" s="47">
        <f>100*E8</f>
        <v>2500</v>
      </c>
      <c r="G164" s="60">
        <f t="shared" si="12"/>
        <v>9300</v>
      </c>
    </row>
    <row r="165" spans="1:7">
      <c r="A165" s="31" t="s">
        <v>79</v>
      </c>
      <c r="B165" s="31" t="s">
        <v>156</v>
      </c>
      <c r="C165" s="38"/>
      <c r="D165" s="38"/>
      <c r="E165" s="38"/>
      <c r="G165" s="60">
        <f t="shared" si="12"/>
        <v>0</v>
      </c>
    </row>
    <row r="166" spans="1:7">
      <c r="A166" s="31" t="s">
        <v>78</v>
      </c>
      <c r="B166" s="31" t="s">
        <v>157</v>
      </c>
      <c r="C166" s="38"/>
      <c r="D166" s="38"/>
      <c r="E166" s="38"/>
      <c r="G166" s="60">
        <f t="shared" si="12"/>
        <v>0</v>
      </c>
    </row>
    <row r="167" spans="1:7">
      <c r="A167" s="31" t="s">
        <v>77</v>
      </c>
      <c r="B167" s="31" t="s">
        <v>158</v>
      </c>
      <c r="C167" s="38"/>
      <c r="D167" s="38"/>
      <c r="E167" s="38"/>
      <c r="G167" s="60">
        <f t="shared" si="12"/>
        <v>0</v>
      </c>
    </row>
    <row r="168" spans="1:7">
      <c r="A168" s="31" t="s">
        <v>80</v>
      </c>
      <c r="B168" s="31" t="s">
        <v>159</v>
      </c>
      <c r="C168" s="38"/>
      <c r="D168" s="38"/>
      <c r="E168" s="38"/>
      <c r="G168" s="60">
        <f t="shared" si="12"/>
        <v>0</v>
      </c>
    </row>
    <row r="169" spans="1:7">
      <c r="A169" s="31" t="s">
        <v>81</v>
      </c>
      <c r="B169" s="31" t="s">
        <v>160</v>
      </c>
      <c r="C169" s="38"/>
      <c r="D169" s="38"/>
      <c r="E169" s="38"/>
      <c r="G169" s="60">
        <f t="shared" si="12"/>
        <v>0</v>
      </c>
    </row>
    <row r="170" spans="1:7">
      <c r="A170" s="31" t="s">
        <v>161</v>
      </c>
      <c r="B170" s="31" t="s">
        <v>162</v>
      </c>
      <c r="C170" s="39"/>
      <c r="D170" s="39"/>
      <c r="E170" s="39"/>
      <c r="G170" s="59">
        <f t="shared" si="12"/>
        <v>0</v>
      </c>
    </row>
    <row r="171" spans="1:7">
      <c r="B171" s="31" t="s">
        <v>163</v>
      </c>
      <c r="C171" s="38">
        <f>SUM(C158:C170)</f>
        <v>9100</v>
      </c>
      <c r="D171" s="38">
        <f>SUM(D158:D170)</f>
        <v>3500</v>
      </c>
      <c r="E171" s="38">
        <f>SUM(E158:E170)</f>
        <v>3500</v>
      </c>
      <c r="G171" s="50">
        <f>SUM(G158:G170)</f>
        <v>12600</v>
      </c>
    </row>
    <row r="172" spans="1:7">
      <c r="C172" s="38"/>
      <c r="D172" s="38"/>
      <c r="E172" s="38"/>
      <c r="G172" s="50"/>
    </row>
    <row r="173" spans="1:7">
      <c r="A173" s="31" t="s">
        <v>164</v>
      </c>
      <c r="C173" s="38"/>
      <c r="D173" s="38"/>
      <c r="E173" s="38"/>
      <c r="G173" s="50"/>
    </row>
    <row r="174" spans="1:7">
      <c r="A174" s="31" t="s">
        <v>165</v>
      </c>
      <c r="C174" s="38"/>
      <c r="D174" s="38"/>
      <c r="E174" s="38"/>
      <c r="G174" s="50"/>
    </row>
    <row r="175" spans="1:7">
      <c r="A175" s="31" t="s">
        <v>86</v>
      </c>
      <c r="B175" s="31" t="s">
        <v>85</v>
      </c>
      <c r="C175" s="38"/>
      <c r="D175" s="38"/>
      <c r="E175" s="38"/>
      <c r="G175" s="60">
        <f t="shared" ref="G175:G185" si="13">SUM(C175:D175)</f>
        <v>0</v>
      </c>
    </row>
    <row r="176" spans="1:7">
      <c r="A176" s="31" t="s">
        <v>91</v>
      </c>
      <c r="B176" s="31" t="s">
        <v>92</v>
      </c>
      <c r="C176" s="38"/>
      <c r="D176" s="38"/>
      <c r="E176" s="38"/>
      <c r="G176" s="60">
        <f t="shared" si="13"/>
        <v>0</v>
      </c>
    </row>
    <row r="177" spans="1:7">
      <c r="A177" s="31" t="s">
        <v>93</v>
      </c>
      <c r="B177" s="31" t="s">
        <v>94</v>
      </c>
      <c r="C177" s="38"/>
      <c r="D177" s="38"/>
      <c r="E177" s="38"/>
      <c r="G177" s="60">
        <f t="shared" si="13"/>
        <v>0</v>
      </c>
    </row>
    <row r="178" spans="1:7">
      <c r="A178" s="31" t="s">
        <v>95</v>
      </c>
      <c r="B178" s="31" t="s">
        <v>405</v>
      </c>
      <c r="C178" s="38"/>
      <c r="D178" s="38"/>
      <c r="E178" s="38"/>
      <c r="G178" s="60">
        <f t="shared" si="13"/>
        <v>0</v>
      </c>
    </row>
    <row r="179" spans="1:7">
      <c r="A179" s="31" t="s">
        <v>96</v>
      </c>
      <c r="B179" s="31" t="s">
        <v>404</v>
      </c>
      <c r="C179" s="38"/>
      <c r="D179" s="38"/>
      <c r="E179" s="38"/>
      <c r="G179" s="60">
        <f t="shared" si="13"/>
        <v>0</v>
      </c>
    </row>
    <row r="180" spans="1:7">
      <c r="A180" s="31" t="s">
        <v>98</v>
      </c>
      <c r="B180" s="31" t="s">
        <v>99</v>
      </c>
      <c r="C180" s="38"/>
      <c r="D180" s="38"/>
      <c r="E180" s="38"/>
      <c r="G180" s="60">
        <f t="shared" si="13"/>
        <v>0</v>
      </c>
    </row>
    <row r="181" spans="1:7">
      <c r="A181" s="31" t="s">
        <v>100</v>
      </c>
      <c r="B181" s="31" t="s">
        <v>284</v>
      </c>
      <c r="C181" s="38"/>
      <c r="D181" s="38"/>
      <c r="E181" s="38"/>
      <c r="G181" s="60">
        <f t="shared" si="13"/>
        <v>0</v>
      </c>
    </row>
    <row r="182" spans="1:7">
      <c r="A182" s="31" t="s">
        <v>101</v>
      </c>
      <c r="B182" s="31" t="s">
        <v>102</v>
      </c>
      <c r="C182" s="38"/>
      <c r="D182" s="38"/>
      <c r="E182" s="38"/>
      <c r="G182" s="60">
        <f t="shared" si="13"/>
        <v>0</v>
      </c>
    </row>
    <row r="183" spans="1:7">
      <c r="A183" s="31" t="s">
        <v>105</v>
      </c>
      <c r="B183" s="31" t="s">
        <v>167</v>
      </c>
      <c r="C183" s="38"/>
      <c r="D183" s="38"/>
      <c r="E183" s="38"/>
      <c r="G183" s="60">
        <f t="shared" si="13"/>
        <v>0</v>
      </c>
    </row>
    <row r="184" spans="1:7">
      <c r="A184" s="31" t="s">
        <v>106</v>
      </c>
      <c r="B184" s="31" t="s">
        <v>107</v>
      </c>
      <c r="C184" s="38"/>
      <c r="D184" s="38"/>
      <c r="E184" s="38"/>
      <c r="G184" s="60">
        <f t="shared" si="13"/>
        <v>0</v>
      </c>
    </row>
    <row r="185" spans="1:7">
      <c r="A185" s="31" t="s">
        <v>428</v>
      </c>
      <c r="B185" s="31" t="s">
        <v>429</v>
      </c>
      <c r="C185" s="39"/>
      <c r="D185" s="39"/>
      <c r="E185" s="39"/>
      <c r="G185" s="59">
        <f t="shared" si="13"/>
        <v>0</v>
      </c>
    </row>
    <row r="186" spans="1:7">
      <c r="B186" s="31" t="s">
        <v>168</v>
      </c>
      <c r="C186" s="38">
        <f>SUM(C175:C185)</f>
        <v>0</v>
      </c>
      <c r="D186" s="38">
        <f>SUM(D175:D185)</f>
        <v>0</v>
      </c>
      <c r="E186" s="38">
        <f>SUM(E175:E185)</f>
        <v>0</v>
      </c>
      <c r="G186" s="50">
        <f>SUM(G175:G185)</f>
        <v>0</v>
      </c>
    </row>
    <row r="187" spans="1:7">
      <c r="C187" s="38"/>
      <c r="D187" s="38"/>
      <c r="E187" s="38"/>
      <c r="G187" s="50"/>
    </row>
    <row r="188" spans="1:7" s="4" customFormat="1">
      <c r="A188" s="35"/>
      <c r="B188" s="35" t="s">
        <v>169</v>
      </c>
      <c r="C188" s="40">
        <f>+C122+C133+C141+C150+C155+C171+C186</f>
        <v>22600</v>
      </c>
      <c r="D188" s="40">
        <f>+D122+D133+D141+D150+D155+D171+D186</f>
        <v>8000</v>
      </c>
      <c r="E188" s="40">
        <f>+E122+E133+E141+E150+E155+E171+E186</f>
        <v>9000</v>
      </c>
      <c r="G188" s="40">
        <f>SUM(G122+G133+G141+G150+G155+G171+G186)</f>
        <v>30600</v>
      </c>
    </row>
    <row r="189" spans="1:7">
      <c r="C189" s="38"/>
      <c r="D189" s="38"/>
      <c r="E189" s="38"/>
      <c r="G189" s="50"/>
    </row>
    <row r="190" spans="1:7">
      <c r="B190" s="35" t="s">
        <v>435</v>
      </c>
      <c r="C190" s="38"/>
      <c r="D190" s="38"/>
      <c r="E190" s="38"/>
      <c r="G190" s="40">
        <f>SUM(G104+G188)</f>
        <v>84607.028940000004</v>
      </c>
    </row>
    <row r="191" spans="1:7" s="4" customFormat="1">
      <c r="A191" s="31"/>
      <c r="B191" s="31"/>
      <c r="C191" s="38"/>
      <c r="D191" s="38"/>
      <c r="E191" s="38"/>
      <c r="G191" s="40"/>
    </row>
    <row r="192" spans="1:7">
      <c r="A192" s="35"/>
      <c r="B192" s="35" t="s">
        <v>170</v>
      </c>
      <c r="C192" s="40">
        <f>+C68-C104-C188</f>
        <v>19695.782636000004</v>
      </c>
      <c r="D192" s="40">
        <f>+D68-D104-D188</f>
        <v>4147.1884239999999</v>
      </c>
      <c r="E192" s="40">
        <f>+E68-E104-E188</f>
        <v>3147.1884239999999</v>
      </c>
      <c r="G192" s="40">
        <f>+G68-G104-G188</f>
        <v>23842.971059999996</v>
      </c>
    </row>
    <row r="193" spans="1:7">
      <c r="G193" s="50"/>
    </row>
    <row r="194" spans="1:7">
      <c r="A194" s="78"/>
      <c r="G194" s="50"/>
    </row>
    <row r="195" spans="1:7">
      <c r="A195" s="78"/>
    </row>
    <row r="196" spans="1:7">
      <c r="B196" s="26"/>
    </row>
  </sheetData>
  <phoneticPr fontId="5" type="noConversion"/>
  <pageMargins left="0.7" right="0.7" top="1.5" bottom="0.54" header="0.3" footer="0.17"/>
  <pageSetup fitToHeight="0" orientation="portrait"/>
  <headerFooter alignWithMargins="0">
    <oddHeader>&amp;C&amp;"MS Sans Serif,Bold"&amp;18INTERNATIONAL SCHOOL OF LOUISIANA
PRIMETIME
Budget '13-2014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2:F196"/>
  <sheetViews>
    <sheetView topLeftCell="A4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C181" sqref="C181:D181"/>
    </sheetView>
  </sheetViews>
  <sheetFormatPr baseColWidth="10" defaultColWidth="11.42578125" defaultRowHeight="10" x14ac:dyDescent="0"/>
  <cols>
    <col min="1" max="1" width="15" style="31" customWidth="1"/>
    <col min="2" max="2" width="26.85546875" style="31" customWidth="1"/>
    <col min="3" max="4" width="11.42578125" style="1"/>
    <col min="5" max="5" width="2" style="1" customWidth="1"/>
    <col min="6" max="6" width="11.42578125" style="49"/>
    <col min="7" max="16384" width="11.42578125" style="1"/>
  </cols>
  <sheetData>
    <row r="2" spans="1:6">
      <c r="B2" s="30" t="s">
        <v>614</v>
      </c>
    </row>
    <row r="3" spans="1:6">
      <c r="B3" s="174" t="s">
        <v>584</v>
      </c>
    </row>
    <row r="4" spans="1:6">
      <c r="A4" s="31" t="s">
        <v>433</v>
      </c>
      <c r="B4" s="32">
        <v>490</v>
      </c>
    </row>
    <row r="5" spans="1:6">
      <c r="A5" s="31" t="s">
        <v>586</v>
      </c>
      <c r="B5" s="32">
        <v>150</v>
      </c>
    </row>
    <row r="6" spans="1:6">
      <c r="A6" s="31" t="s">
        <v>434</v>
      </c>
      <c r="B6" s="32">
        <v>215</v>
      </c>
    </row>
    <row r="7" spans="1:6" s="8" customFormat="1">
      <c r="A7" s="28" t="s">
        <v>587</v>
      </c>
      <c r="B7" s="32">
        <v>400</v>
      </c>
      <c r="C7" s="55">
        <v>0</v>
      </c>
      <c r="D7" s="55">
        <v>0</v>
      </c>
      <c r="F7" s="57">
        <f>SUM(C7:E7)</f>
        <v>0</v>
      </c>
    </row>
    <row r="8" spans="1:6">
      <c r="B8" s="175">
        <f>SUM(B4:B7)</f>
        <v>1255</v>
      </c>
      <c r="C8" s="21">
        <v>235</v>
      </c>
      <c r="D8" s="21">
        <v>50</v>
      </c>
    </row>
    <row r="9" spans="1:6">
      <c r="C9" s="1" t="s">
        <v>590</v>
      </c>
      <c r="D9" s="1" t="s">
        <v>591</v>
      </c>
    </row>
    <row r="10" spans="1:6" s="7" customFormat="1" ht="11" thickBot="1">
      <c r="A10" s="33"/>
      <c r="B10" s="33" t="s">
        <v>174</v>
      </c>
      <c r="C10" s="7">
        <v>3210</v>
      </c>
      <c r="D10" s="7">
        <v>3210</v>
      </c>
      <c r="F10" s="51"/>
    </row>
    <row r="11" spans="1:6">
      <c r="A11" s="31" t="s">
        <v>268</v>
      </c>
    </row>
    <row r="12" spans="1:6">
      <c r="A12" s="31" t="s">
        <v>269</v>
      </c>
    </row>
    <row r="13" spans="1:6">
      <c r="A13" s="31" t="s">
        <v>171</v>
      </c>
      <c r="B13" s="31" t="s">
        <v>270</v>
      </c>
      <c r="C13" s="38"/>
      <c r="D13" s="38"/>
      <c r="F13" s="60">
        <f>SUM(C13:D13)</f>
        <v>0</v>
      </c>
    </row>
    <row r="14" spans="1:6">
      <c r="A14" s="31" t="s">
        <v>172</v>
      </c>
      <c r="B14" s="31" t="s">
        <v>271</v>
      </c>
      <c r="C14" s="38"/>
      <c r="D14" s="38"/>
      <c r="F14" s="60">
        <f t="shared" ref="F14:F37" si="0">SUM(C14:D14)</f>
        <v>0</v>
      </c>
    </row>
    <row r="15" spans="1:6">
      <c r="A15" s="31" t="s">
        <v>173</v>
      </c>
      <c r="B15" s="31" t="s">
        <v>272</v>
      </c>
      <c r="C15" s="38"/>
      <c r="D15" s="38"/>
      <c r="F15" s="60">
        <f t="shared" si="0"/>
        <v>0</v>
      </c>
    </row>
    <row r="16" spans="1:6">
      <c r="A16" s="31" t="s">
        <v>193</v>
      </c>
      <c r="B16" s="31" t="s">
        <v>273</v>
      </c>
      <c r="C16" s="38"/>
      <c r="D16" s="38"/>
      <c r="F16" s="60">
        <f t="shared" si="0"/>
        <v>0</v>
      </c>
    </row>
    <row r="17" spans="1:6">
      <c r="A17" s="31" t="s">
        <v>194</v>
      </c>
      <c r="B17" s="31" t="s">
        <v>274</v>
      </c>
      <c r="C17" s="38"/>
      <c r="D17" s="38"/>
      <c r="F17" s="60">
        <f t="shared" si="0"/>
        <v>0</v>
      </c>
    </row>
    <row r="18" spans="1:6">
      <c r="A18" s="31" t="s">
        <v>195</v>
      </c>
      <c r="B18" s="31" t="s">
        <v>275</v>
      </c>
      <c r="C18" s="47"/>
      <c r="D18" s="47"/>
      <c r="F18" s="60">
        <f t="shared" si="0"/>
        <v>0</v>
      </c>
    </row>
    <row r="19" spans="1:6">
      <c r="A19" s="31" t="s">
        <v>196</v>
      </c>
      <c r="B19" s="31" t="s">
        <v>276</v>
      </c>
      <c r="C19" s="38"/>
      <c r="D19" s="38"/>
      <c r="F19" s="60">
        <f t="shared" si="0"/>
        <v>0</v>
      </c>
    </row>
    <row r="20" spans="1:6">
      <c r="A20" s="31" t="s">
        <v>197</v>
      </c>
      <c r="B20" s="31" t="s">
        <v>277</v>
      </c>
      <c r="C20" s="38"/>
      <c r="D20" s="38"/>
      <c r="F20" s="60">
        <f t="shared" si="0"/>
        <v>0</v>
      </c>
    </row>
    <row r="21" spans="1:6">
      <c r="A21" s="31" t="s">
        <v>198</v>
      </c>
      <c r="B21" s="31" t="s">
        <v>278</v>
      </c>
      <c r="C21" s="38"/>
      <c r="D21" s="38"/>
      <c r="F21" s="60">
        <f t="shared" si="0"/>
        <v>0</v>
      </c>
    </row>
    <row r="22" spans="1:6">
      <c r="A22" s="31" t="s">
        <v>199</v>
      </c>
      <c r="B22" s="31" t="s">
        <v>279</v>
      </c>
      <c r="C22" s="38"/>
      <c r="D22" s="38"/>
      <c r="F22" s="60">
        <f t="shared" si="0"/>
        <v>0</v>
      </c>
    </row>
    <row r="23" spans="1:6">
      <c r="A23" s="31" t="s">
        <v>200</v>
      </c>
      <c r="B23" s="31" t="s">
        <v>280</v>
      </c>
      <c r="C23" s="38"/>
      <c r="D23" s="38"/>
      <c r="F23" s="60">
        <f t="shared" si="0"/>
        <v>0</v>
      </c>
    </row>
    <row r="24" spans="1:6">
      <c r="A24" s="31" t="s">
        <v>201</v>
      </c>
      <c r="B24" s="31" t="s">
        <v>281</v>
      </c>
      <c r="C24" s="38"/>
      <c r="D24" s="38"/>
      <c r="F24" s="60">
        <f t="shared" si="0"/>
        <v>0</v>
      </c>
    </row>
    <row r="25" spans="1:6">
      <c r="A25" s="31" t="s">
        <v>202</v>
      </c>
      <c r="B25" s="31" t="s">
        <v>282</v>
      </c>
      <c r="C25" s="38"/>
      <c r="D25" s="38"/>
      <c r="F25" s="60">
        <f t="shared" si="0"/>
        <v>0</v>
      </c>
    </row>
    <row r="26" spans="1:6">
      <c r="A26" s="31" t="s">
        <v>203</v>
      </c>
      <c r="B26" s="31" t="s">
        <v>283</v>
      </c>
      <c r="C26" s="38"/>
      <c r="D26" s="38"/>
      <c r="F26" s="60">
        <f t="shared" si="0"/>
        <v>0</v>
      </c>
    </row>
    <row r="27" spans="1:6">
      <c r="A27" s="31" t="s">
        <v>204</v>
      </c>
      <c r="B27" s="31" t="s">
        <v>284</v>
      </c>
      <c r="C27" s="38"/>
      <c r="D27" s="38"/>
      <c r="F27" s="60">
        <f t="shared" si="0"/>
        <v>0</v>
      </c>
    </row>
    <row r="28" spans="1:6">
      <c r="A28" s="31" t="s">
        <v>205</v>
      </c>
      <c r="B28" s="31" t="s">
        <v>285</v>
      </c>
      <c r="C28" s="38"/>
      <c r="D28" s="38"/>
      <c r="F28" s="60">
        <f t="shared" si="0"/>
        <v>0</v>
      </c>
    </row>
    <row r="29" spans="1:6">
      <c r="A29" s="31" t="s">
        <v>206</v>
      </c>
      <c r="B29" s="31" t="s">
        <v>286</v>
      </c>
      <c r="C29" s="38"/>
      <c r="D29" s="38"/>
      <c r="F29" s="60">
        <f t="shared" si="0"/>
        <v>0</v>
      </c>
    </row>
    <row r="30" spans="1:6">
      <c r="A30" s="31" t="s">
        <v>208</v>
      </c>
      <c r="B30" s="31" t="s">
        <v>287</v>
      </c>
      <c r="C30" s="38"/>
      <c r="D30" s="38"/>
      <c r="F30" s="60">
        <f t="shared" si="0"/>
        <v>0</v>
      </c>
    </row>
    <row r="31" spans="1:6">
      <c r="A31" s="31" t="s">
        <v>207</v>
      </c>
      <c r="B31" s="31" t="s">
        <v>288</v>
      </c>
      <c r="C31" s="38"/>
      <c r="D31" s="38"/>
      <c r="F31" s="60">
        <f t="shared" si="0"/>
        <v>0</v>
      </c>
    </row>
    <row r="32" spans="1:6">
      <c r="A32" s="31" t="s">
        <v>209</v>
      </c>
      <c r="B32" s="31" t="s">
        <v>210</v>
      </c>
      <c r="C32" s="38"/>
      <c r="D32" s="38"/>
      <c r="F32" s="60">
        <f t="shared" si="0"/>
        <v>0</v>
      </c>
    </row>
    <row r="33" spans="1:6">
      <c r="A33" s="31" t="s">
        <v>213</v>
      </c>
      <c r="B33" s="31" t="s">
        <v>214</v>
      </c>
      <c r="C33" s="38"/>
      <c r="D33" s="38"/>
      <c r="F33" s="60">
        <f t="shared" si="0"/>
        <v>0</v>
      </c>
    </row>
    <row r="34" spans="1:6">
      <c r="A34" s="31" t="s">
        <v>212</v>
      </c>
      <c r="B34" s="31" t="s">
        <v>289</v>
      </c>
      <c r="C34" s="38"/>
      <c r="D34" s="38"/>
      <c r="F34" s="60">
        <f t="shared" si="0"/>
        <v>0</v>
      </c>
    </row>
    <row r="35" spans="1:6">
      <c r="A35" s="31" t="s">
        <v>211</v>
      </c>
      <c r="B35" s="31" t="s">
        <v>290</v>
      </c>
      <c r="C35" s="38"/>
      <c r="D35" s="38"/>
      <c r="F35" s="60">
        <f t="shared" si="0"/>
        <v>0</v>
      </c>
    </row>
    <row r="36" spans="1:6">
      <c r="A36" s="31" t="s">
        <v>215</v>
      </c>
      <c r="B36" s="31" t="s">
        <v>291</v>
      </c>
      <c r="C36" s="38"/>
      <c r="D36" s="38"/>
      <c r="F36" s="60">
        <f t="shared" si="0"/>
        <v>0</v>
      </c>
    </row>
    <row r="37" spans="1:6">
      <c r="A37" s="31" t="s">
        <v>216</v>
      </c>
      <c r="B37" s="31" t="s">
        <v>292</v>
      </c>
      <c r="C37" s="39"/>
      <c r="D37" s="39"/>
      <c r="F37" s="59">
        <f t="shared" si="0"/>
        <v>0</v>
      </c>
    </row>
    <row r="38" spans="1:6">
      <c r="B38" s="31" t="s">
        <v>293</v>
      </c>
      <c r="C38" s="38">
        <f>SUM(C13:C37)</f>
        <v>0</v>
      </c>
      <c r="D38" s="38">
        <f>SUM(D13:D37)</f>
        <v>0</v>
      </c>
      <c r="F38" s="40">
        <f>SUM(F13:F37)</f>
        <v>0</v>
      </c>
    </row>
    <row r="39" spans="1:6">
      <c r="C39" s="38"/>
      <c r="D39" s="38"/>
      <c r="F39" s="50"/>
    </row>
    <row r="40" spans="1:6">
      <c r="A40" s="31" t="s">
        <v>294</v>
      </c>
      <c r="C40" s="38"/>
      <c r="D40" s="38"/>
      <c r="F40" s="50"/>
    </row>
    <row r="41" spans="1:6">
      <c r="A41" s="31" t="s">
        <v>217</v>
      </c>
      <c r="B41" s="31" t="s">
        <v>295</v>
      </c>
      <c r="C41" s="38"/>
      <c r="D41" s="38"/>
      <c r="F41" s="60">
        <f t="shared" ref="F41:F48" si="1">SUM(C41:D41)</f>
        <v>0</v>
      </c>
    </row>
    <row r="42" spans="1:6">
      <c r="A42" s="31" t="s">
        <v>218</v>
      </c>
      <c r="B42" s="31" t="s">
        <v>219</v>
      </c>
      <c r="C42" s="38"/>
      <c r="D42" s="38"/>
      <c r="F42" s="60">
        <f t="shared" si="1"/>
        <v>0</v>
      </c>
    </row>
    <row r="43" spans="1:6">
      <c r="A43" s="31" t="s">
        <v>220</v>
      </c>
      <c r="B43" s="31" t="s">
        <v>221</v>
      </c>
      <c r="C43" s="38"/>
      <c r="D43" s="38"/>
      <c r="F43" s="60">
        <f t="shared" si="1"/>
        <v>0</v>
      </c>
    </row>
    <row r="44" spans="1:6">
      <c r="A44" s="31" t="s">
        <v>222</v>
      </c>
      <c r="B44" s="31" t="s">
        <v>296</v>
      </c>
      <c r="C44" s="38"/>
      <c r="D44" s="38"/>
      <c r="F44" s="60">
        <f t="shared" si="1"/>
        <v>0</v>
      </c>
    </row>
    <row r="45" spans="1:6">
      <c r="A45" s="31" t="s">
        <v>223</v>
      </c>
      <c r="B45" s="31" t="s">
        <v>224</v>
      </c>
      <c r="C45" s="38"/>
      <c r="D45" s="38"/>
      <c r="F45" s="60">
        <f t="shared" si="1"/>
        <v>0</v>
      </c>
    </row>
    <row r="46" spans="1:6">
      <c r="A46" s="31" t="s">
        <v>225</v>
      </c>
      <c r="B46" s="31" t="s">
        <v>226</v>
      </c>
      <c r="C46" s="38"/>
      <c r="D46" s="38"/>
      <c r="F46" s="60">
        <f t="shared" si="1"/>
        <v>0</v>
      </c>
    </row>
    <row r="47" spans="1:6">
      <c r="A47" s="31" t="s">
        <v>227</v>
      </c>
      <c r="B47" s="31" t="s">
        <v>297</v>
      </c>
      <c r="C47" s="38"/>
      <c r="D47" s="38"/>
      <c r="F47" s="60">
        <f t="shared" si="1"/>
        <v>0</v>
      </c>
    </row>
    <row r="48" spans="1:6">
      <c r="A48" s="31" t="s">
        <v>228</v>
      </c>
      <c r="B48" s="31" t="s">
        <v>298</v>
      </c>
      <c r="C48" s="39"/>
      <c r="D48" s="39"/>
      <c r="F48" s="59">
        <f t="shared" si="1"/>
        <v>0</v>
      </c>
    </row>
    <row r="49" spans="1:6">
      <c r="B49" s="31" t="s">
        <v>299</v>
      </c>
      <c r="C49" s="38">
        <f>SUM(C41:C48)</f>
        <v>0</v>
      </c>
      <c r="D49" s="38">
        <f>SUM(D41:D48)</f>
        <v>0</v>
      </c>
      <c r="F49" s="50">
        <f>SUM(F41:F48)</f>
        <v>0</v>
      </c>
    </row>
    <row r="50" spans="1:6">
      <c r="C50" s="38"/>
      <c r="D50" s="38"/>
      <c r="F50" s="50"/>
    </row>
    <row r="51" spans="1:6">
      <c r="A51" s="31" t="s">
        <v>300</v>
      </c>
      <c r="C51" s="38"/>
      <c r="D51" s="38"/>
      <c r="F51" s="50"/>
    </row>
    <row r="52" spans="1:6">
      <c r="A52" s="31" t="s">
        <v>301</v>
      </c>
      <c r="C52" s="38"/>
      <c r="D52" s="38"/>
      <c r="F52" s="50"/>
    </row>
    <row r="53" spans="1:6">
      <c r="A53" s="31" t="s">
        <v>229</v>
      </c>
      <c r="B53" s="31" t="s">
        <v>389</v>
      </c>
      <c r="C53" s="38"/>
      <c r="D53" s="38"/>
      <c r="F53" s="60">
        <f t="shared" ref="F53:F65" si="2">SUM(C53:D53)</f>
        <v>0</v>
      </c>
    </row>
    <row r="54" spans="1:6">
      <c r="A54" s="31" t="s">
        <v>230</v>
      </c>
      <c r="B54" s="31" t="s">
        <v>390</v>
      </c>
      <c r="C54" s="38"/>
      <c r="D54" s="38"/>
      <c r="F54" s="60">
        <f t="shared" si="2"/>
        <v>0</v>
      </c>
    </row>
    <row r="55" spans="1:6">
      <c r="A55" s="31" t="s">
        <v>231</v>
      </c>
      <c r="B55" s="31" t="s">
        <v>391</v>
      </c>
      <c r="C55" s="38"/>
      <c r="D55" s="38"/>
      <c r="F55" s="60">
        <f t="shared" si="2"/>
        <v>0</v>
      </c>
    </row>
    <row r="56" spans="1:6">
      <c r="A56" s="31" t="s">
        <v>232</v>
      </c>
      <c r="B56" s="31" t="s">
        <v>302</v>
      </c>
      <c r="C56" s="38"/>
      <c r="D56" s="38"/>
      <c r="F56" s="60">
        <f t="shared" si="2"/>
        <v>0</v>
      </c>
    </row>
    <row r="57" spans="1:6">
      <c r="A57" s="31" t="s">
        <v>233</v>
      </c>
      <c r="B57" s="31" t="s">
        <v>303</v>
      </c>
      <c r="C57" s="38"/>
      <c r="D57" s="38"/>
      <c r="F57" s="60">
        <f t="shared" si="2"/>
        <v>0</v>
      </c>
    </row>
    <row r="58" spans="1:6">
      <c r="A58" s="31" t="s">
        <v>0</v>
      </c>
      <c r="B58" s="31" t="s">
        <v>304</v>
      </c>
      <c r="C58" s="38"/>
      <c r="D58" s="38"/>
      <c r="F58" s="60">
        <f t="shared" si="2"/>
        <v>0</v>
      </c>
    </row>
    <row r="59" spans="1:6">
      <c r="A59" s="31" t="s">
        <v>1</v>
      </c>
      <c r="B59" s="31" t="s">
        <v>305</v>
      </c>
      <c r="C59" s="172"/>
      <c r="D59" s="47"/>
      <c r="F59" s="60">
        <f t="shared" si="2"/>
        <v>0</v>
      </c>
    </row>
    <row r="60" spans="1:6">
      <c r="A60" s="31" t="s">
        <v>3</v>
      </c>
      <c r="B60" s="31" t="s">
        <v>2</v>
      </c>
      <c r="C60" s="47"/>
      <c r="D60" s="47"/>
      <c r="F60" s="60">
        <f t="shared" si="2"/>
        <v>0</v>
      </c>
    </row>
    <row r="61" spans="1:6">
      <c r="A61" s="31" t="s">
        <v>4</v>
      </c>
      <c r="B61" s="31" t="s">
        <v>5</v>
      </c>
      <c r="C61" s="47"/>
      <c r="D61" s="47"/>
      <c r="F61" s="60">
        <f t="shared" si="2"/>
        <v>0</v>
      </c>
    </row>
    <row r="62" spans="1:6">
      <c r="A62" s="31" t="s">
        <v>6</v>
      </c>
      <c r="B62" s="31" t="s">
        <v>7</v>
      </c>
      <c r="C62" s="47"/>
      <c r="D62" s="47"/>
      <c r="F62" s="60">
        <f t="shared" si="2"/>
        <v>0</v>
      </c>
    </row>
    <row r="63" spans="1:6">
      <c r="A63" s="31" t="s">
        <v>8</v>
      </c>
      <c r="B63" s="31" t="s">
        <v>9</v>
      </c>
      <c r="C63" s="47"/>
      <c r="D63" s="47"/>
      <c r="F63" s="60">
        <f t="shared" si="2"/>
        <v>0</v>
      </c>
    </row>
    <row r="64" spans="1:6">
      <c r="A64" s="31" t="s">
        <v>11</v>
      </c>
      <c r="B64" s="31" t="s">
        <v>307</v>
      </c>
      <c r="C64" s="47"/>
      <c r="D64" s="47"/>
      <c r="F64" s="60">
        <f t="shared" si="2"/>
        <v>0</v>
      </c>
    </row>
    <row r="65" spans="1:6">
      <c r="A65" s="31" t="s">
        <v>10</v>
      </c>
      <c r="B65" s="31" t="s">
        <v>306</v>
      </c>
      <c r="C65" s="48"/>
      <c r="D65" s="48"/>
      <c r="F65" s="59">
        <f t="shared" si="2"/>
        <v>0</v>
      </c>
    </row>
    <row r="66" spans="1:6">
      <c r="B66" s="31" t="s">
        <v>308</v>
      </c>
      <c r="C66" s="47">
        <f>SUM(C53:C65)</f>
        <v>0</v>
      </c>
      <c r="D66" s="47">
        <f>SUM(D53:D65)</f>
        <v>0</v>
      </c>
      <c r="F66" s="50">
        <f>SUM(F53:F65)</f>
        <v>0</v>
      </c>
    </row>
    <row r="67" spans="1:6">
      <c r="C67" s="47"/>
      <c r="D67" s="47"/>
      <c r="F67" s="50"/>
    </row>
    <row r="68" spans="1:6" s="4" customFormat="1">
      <c r="A68" s="35"/>
      <c r="B68" s="35" t="s">
        <v>309</v>
      </c>
      <c r="C68" s="50">
        <f>SUM(C38+C49+C66)</f>
        <v>0</v>
      </c>
      <c r="D68" s="50">
        <f>SUM(D38+D49+D66)</f>
        <v>0</v>
      </c>
      <c r="F68" s="40">
        <f t="shared" ref="F68" si="3">+F66+F49+F38</f>
        <v>0</v>
      </c>
    </row>
    <row r="69" spans="1:6">
      <c r="C69" s="47"/>
      <c r="D69" s="47"/>
      <c r="F69" s="50"/>
    </row>
    <row r="70" spans="1:6">
      <c r="A70" s="31" t="s">
        <v>310</v>
      </c>
      <c r="C70" s="47"/>
      <c r="D70" s="47"/>
      <c r="F70" s="50"/>
    </row>
    <row r="71" spans="1:6">
      <c r="A71" s="31" t="s">
        <v>311</v>
      </c>
      <c r="C71" s="47"/>
      <c r="D71" s="47"/>
      <c r="F71" s="50"/>
    </row>
    <row r="72" spans="1:6">
      <c r="A72" s="31" t="s">
        <v>19</v>
      </c>
      <c r="B72" s="31" t="s">
        <v>320</v>
      </c>
      <c r="C72" s="47"/>
      <c r="D72" s="47"/>
      <c r="F72" s="60">
        <f t="shared" ref="F72:F79" si="4">SUM(C72:D72)</f>
        <v>0</v>
      </c>
    </row>
    <row r="73" spans="1:6">
      <c r="A73" s="31" t="s">
        <v>12</v>
      </c>
      <c r="B73" s="31" t="s">
        <v>312</v>
      </c>
      <c r="C73" s="47"/>
      <c r="D73" s="47"/>
      <c r="F73" s="60">
        <f t="shared" si="4"/>
        <v>0</v>
      </c>
    </row>
    <row r="74" spans="1:6">
      <c r="A74" s="31" t="s">
        <v>13</v>
      </c>
      <c r="B74" s="31" t="s">
        <v>313</v>
      </c>
      <c r="C74" s="38"/>
      <c r="D74" s="38"/>
      <c r="F74" s="60">
        <f t="shared" si="4"/>
        <v>0</v>
      </c>
    </row>
    <row r="75" spans="1:6">
      <c r="A75" s="31" t="s">
        <v>14</v>
      </c>
      <c r="B75" s="31" t="s">
        <v>314</v>
      </c>
      <c r="C75" s="38"/>
      <c r="D75" s="38"/>
      <c r="F75" s="60">
        <f t="shared" si="4"/>
        <v>0</v>
      </c>
    </row>
    <row r="76" spans="1:6">
      <c r="A76" s="31" t="s">
        <v>15</v>
      </c>
      <c r="B76" s="31" t="s">
        <v>315</v>
      </c>
      <c r="C76" s="38"/>
      <c r="D76" s="38"/>
      <c r="F76" s="60">
        <f t="shared" si="4"/>
        <v>0</v>
      </c>
    </row>
    <row r="77" spans="1:6">
      <c r="A77" s="31" t="s">
        <v>16</v>
      </c>
      <c r="B77" s="31" t="s">
        <v>316</v>
      </c>
      <c r="C77" s="38"/>
      <c r="D77" s="38"/>
      <c r="F77" s="60">
        <f t="shared" si="4"/>
        <v>0</v>
      </c>
    </row>
    <row r="78" spans="1:6">
      <c r="A78" s="31" t="s">
        <v>17</v>
      </c>
      <c r="B78" s="31" t="s">
        <v>317</v>
      </c>
      <c r="C78" s="38"/>
      <c r="D78" s="38"/>
      <c r="F78" s="60">
        <f t="shared" si="4"/>
        <v>0</v>
      </c>
    </row>
    <row r="79" spans="1:6" ht="14.25" customHeight="1">
      <c r="A79" s="31" t="s">
        <v>18</v>
      </c>
      <c r="B79" s="31" t="s">
        <v>319</v>
      </c>
      <c r="C79" s="39"/>
      <c r="D79" s="39"/>
      <c r="F79" s="59">
        <f t="shared" si="4"/>
        <v>0</v>
      </c>
    </row>
    <row r="80" spans="1:6">
      <c r="B80" s="31" t="s">
        <v>24</v>
      </c>
      <c r="C80" s="38">
        <f>SUM(C72:C79)</f>
        <v>0</v>
      </c>
      <c r="D80" s="38">
        <f>SUM(D72:D79)</f>
        <v>0</v>
      </c>
      <c r="F80" s="50">
        <f>SUM(F72:F79)</f>
        <v>0</v>
      </c>
    </row>
    <row r="81" spans="1:6">
      <c r="C81" s="38"/>
      <c r="D81" s="38"/>
      <c r="F81" s="50"/>
    </row>
    <row r="82" spans="1:6">
      <c r="C82" s="38"/>
      <c r="D82" s="38"/>
      <c r="F82" s="50"/>
    </row>
    <row r="83" spans="1:6">
      <c r="A83" s="36" t="s">
        <v>322</v>
      </c>
      <c r="C83" s="38"/>
      <c r="D83" s="38"/>
      <c r="F83" s="50"/>
    </row>
    <row r="84" spans="1:6">
      <c r="A84" s="31" t="s">
        <v>20</v>
      </c>
      <c r="B84" s="31" t="s">
        <v>321</v>
      </c>
      <c r="C84" s="38"/>
      <c r="D84" s="38"/>
      <c r="F84" s="60">
        <f t="shared" ref="F84:F87" si="5">SUM(C84:D84)</f>
        <v>0</v>
      </c>
    </row>
    <row r="85" spans="1:6">
      <c r="A85" s="31" t="s">
        <v>21</v>
      </c>
      <c r="B85" s="31" t="s">
        <v>322</v>
      </c>
      <c r="C85" s="38"/>
      <c r="D85" s="38"/>
      <c r="F85" s="60">
        <f t="shared" si="5"/>
        <v>0</v>
      </c>
    </row>
    <row r="86" spans="1:6">
      <c r="A86" s="31" t="s">
        <v>406</v>
      </c>
      <c r="B86" s="31" t="s">
        <v>407</v>
      </c>
      <c r="C86" s="38"/>
      <c r="D86" s="38"/>
      <c r="F86" s="60">
        <f t="shared" si="5"/>
        <v>0</v>
      </c>
    </row>
    <row r="87" spans="1:6">
      <c r="A87" s="31" t="s">
        <v>22</v>
      </c>
      <c r="B87" s="31" t="s">
        <v>23</v>
      </c>
      <c r="C87" s="39"/>
      <c r="D87" s="39"/>
      <c r="F87" s="59">
        <f t="shared" si="5"/>
        <v>0</v>
      </c>
    </row>
    <row r="88" spans="1:6">
      <c r="B88" s="31" t="s">
        <v>323</v>
      </c>
      <c r="C88" s="38">
        <f>SUM(C84:C87)</f>
        <v>0</v>
      </c>
      <c r="D88" s="38">
        <f>SUM(D84:D87)</f>
        <v>0</v>
      </c>
      <c r="F88" s="50">
        <f>SUM(F84:F87)</f>
        <v>0</v>
      </c>
    </row>
    <row r="89" spans="1:6">
      <c r="C89" s="38"/>
      <c r="D89" s="38"/>
      <c r="F89" s="50"/>
    </row>
    <row r="90" spans="1:6">
      <c r="B90" s="31" t="s">
        <v>324</v>
      </c>
      <c r="C90" s="38">
        <f>SUM(C80+C88)</f>
        <v>0</v>
      </c>
      <c r="D90" s="38">
        <f>SUM(D80+D88)</f>
        <v>0</v>
      </c>
      <c r="F90" s="40">
        <f>+F80+F88</f>
        <v>0</v>
      </c>
    </row>
    <row r="91" spans="1:6">
      <c r="C91" s="38"/>
      <c r="D91" s="38"/>
      <c r="F91" s="50"/>
    </row>
    <row r="92" spans="1:6">
      <c r="A92" s="31" t="s">
        <v>325</v>
      </c>
      <c r="C92" s="38"/>
      <c r="D92" s="38"/>
      <c r="F92" s="50"/>
    </row>
    <row r="93" spans="1:6">
      <c r="A93" s="31" t="s">
        <v>25</v>
      </c>
      <c r="B93" s="31" t="s">
        <v>33</v>
      </c>
      <c r="C93" s="38"/>
      <c r="D93" s="38"/>
      <c r="F93" s="60">
        <f t="shared" ref="F93:F101" si="6">SUM(C93:D93)</f>
        <v>0</v>
      </c>
    </row>
    <row r="94" spans="1:6">
      <c r="A94" s="31" t="s">
        <v>26</v>
      </c>
      <c r="B94" s="31" t="s">
        <v>34</v>
      </c>
      <c r="C94" s="38"/>
      <c r="D94" s="38"/>
      <c r="F94" s="60">
        <f t="shared" si="6"/>
        <v>0</v>
      </c>
    </row>
    <row r="95" spans="1:6">
      <c r="A95" s="31" t="s">
        <v>28</v>
      </c>
      <c r="B95" s="31" t="s">
        <v>27</v>
      </c>
      <c r="C95" s="38">
        <f>(+C$88-C$84+C$80)*0.062</f>
        <v>0</v>
      </c>
      <c r="D95" s="38">
        <f>(+D$88-D$84+D$80)*0.062</f>
        <v>0</v>
      </c>
      <c r="F95" s="60">
        <f t="shared" si="6"/>
        <v>0</v>
      </c>
    </row>
    <row r="96" spans="1:6">
      <c r="A96" s="31" t="s">
        <v>30</v>
      </c>
      <c r="B96" s="31" t="s">
        <v>29</v>
      </c>
      <c r="C96" s="38">
        <f>(+C$88-C$84+C$80)*0.0145</f>
        <v>0</v>
      </c>
      <c r="D96" s="38">
        <f>(+D$88-D$84+D$80)*0.0145</f>
        <v>0</v>
      </c>
      <c r="F96" s="60">
        <f t="shared" si="6"/>
        <v>0</v>
      </c>
    </row>
    <row r="97" spans="1:6">
      <c r="A97" s="31" t="s">
        <v>31</v>
      </c>
      <c r="B97" s="31" t="s">
        <v>32</v>
      </c>
      <c r="C97" s="38">
        <f>+C18*0.06*0.5</f>
        <v>0</v>
      </c>
      <c r="D97" s="38">
        <f>+D18*0.06*0.5</f>
        <v>0</v>
      </c>
      <c r="F97" s="60">
        <f t="shared" si="6"/>
        <v>0</v>
      </c>
    </row>
    <row r="98" spans="1:6">
      <c r="A98" s="31" t="s">
        <v>36</v>
      </c>
      <c r="B98" s="31" t="s">
        <v>35</v>
      </c>
      <c r="C98" s="38">
        <f>(+C$88-C$84+C$80)*0.0056</f>
        <v>0</v>
      </c>
      <c r="D98" s="38">
        <f>(+D$88-D$84+D$80)*0.0056</f>
        <v>0</v>
      </c>
      <c r="F98" s="60">
        <f t="shared" si="6"/>
        <v>0</v>
      </c>
    </row>
    <row r="99" spans="1:6">
      <c r="A99" s="31" t="s">
        <v>38</v>
      </c>
      <c r="B99" s="31" t="s">
        <v>37</v>
      </c>
      <c r="C99" s="38">
        <f>+C$7*7700*0.0201</f>
        <v>0</v>
      </c>
      <c r="D99" s="38">
        <f>+D$7*7700*0.0201</f>
        <v>0</v>
      </c>
      <c r="F99" s="60">
        <f t="shared" si="6"/>
        <v>0</v>
      </c>
    </row>
    <row r="100" spans="1:6">
      <c r="A100" s="31" t="s">
        <v>83</v>
      </c>
      <c r="B100" s="31" t="s">
        <v>84</v>
      </c>
      <c r="C100" s="38"/>
      <c r="D100" s="38"/>
      <c r="F100" s="60">
        <f t="shared" si="6"/>
        <v>0</v>
      </c>
    </row>
    <row r="101" spans="1:6">
      <c r="A101" s="31" t="s">
        <v>39</v>
      </c>
      <c r="B101" s="31" t="s">
        <v>40</v>
      </c>
      <c r="C101" s="39">
        <f>(+C$88-C$84+C$80)*(0.0024+0.0036+0.0013)</f>
        <v>0</v>
      </c>
      <c r="D101" s="39">
        <f>(+D$88-D$84+D$80)*(0.0024+0.0036+0.0013)</f>
        <v>0</v>
      </c>
      <c r="F101" s="59">
        <f t="shared" si="6"/>
        <v>0</v>
      </c>
    </row>
    <row r="102" spans="1:6">
      <c r="B102" s="31" t="s">
        <v>234</v>
      </c>
      <c r="C102" s="38">
        <f>SUM(C93:C101)</f>
        <v>0</v>
      </c>
      <c r="D102" s="38">
        <f>SUM(D93:D101)</f>
        <v>0</v>
      </c>
      <c r="F102" s="50">
        <f>SUM(F93:F101)</f>
        <v>0</v>
      </c>
    </row>
    <row r="103" spans="1:6">
      <c r="C103" s="38"/>
      <c r="D103" s="38"/>
      <c r="F103" s="50"/>
    </row>
    <row r="104" spans="1:6" s="4" customFormat="1">
      <c r="A104" s="35"/>
      <c r="B104" s="35" t="s">
        <v>235</v>
      </c>
      <c r="C104" s="40">
        <f>SUM(C90+C102)</f>
        <v>0</v>
      </c>
      <c r="D104" s="40">
        <f>SUM(D90+D102)</f>
        <v>0</v>
      </c>
      <c r="F104" s="40">
        <f>+F90+F102</f>
        <v>0</v>
      </c>
    </row>
    <row r="105" spans="1:6">
      <c r="C105" s="38"/>
      <c r="D105" s="38"/>
      <c r="F105" s="50"/>
    </row>
    <row r="106" spans="1:6">
      <c r="A106" s="31" t="s">
        <v>236</v>
      </c>
      <c r="C106" s="38"/>
      <c r="D106" s="38"/>
      <c r="F106" s="50"/>
    </row>
    <row r="107" spans="1:6">
      <c r="A107" s="31" t="s">
        <v>237</v>
      </c>
      <c r="C107" s="38"/>
      <c r="D107" s="38"/>
      <c r="F107" s="50"/>
    </row>
    <row r="108" spans="1:6">
      <c r="A108" s="31" t="s">
        <v>51</v>
      </c>
      <c r="B108" s="31" t="s">
        <v>50</v>
      </c>
      <c r="C108" s="38"/>
      <c r="D108" s="38"/>
      <c r="F108" s="60">
        <f t="shared" ref="F108:F121" si="7">SUM(C108:D108)</f>
        <v>0</v>
      </c>
    </row>
    <row r="109" spans="1:6">
      <c r="A109" s="31" t="s">
        <v>41</v>
      </c>
      <c r="B109" s="31" t="s">
        <v>42</v>
      </c>
      <c r="C109" s="38"/>
      <c r="D109" s="38"/>
      <c r="F109" s="60">
        <f t="shared" si="7"/>
        <v>0</v>
      </c>
    </row>
    <row r="110" spans="1:6">
      <c r="A110" s="31" t="s">
        <v>43</v>
      </c>
      <c r="B110" s="31" t="s">
        <v>238</v>
      </c>
      <c r="C110" s="38"/>
      <c r="D110" s="38"/>
      <c r="F110" s="60">
        <f t="shared" si="7"/>
        <v>0</v>
      </c>
    </row>
    <row r="111" spans="1:6">
      <c r="A111" s="31" t="s">
        <v>44</v>
      </c>
      <c r="B111" s="31" t="s">
        <v>45</v>
      </c>
      <c r="C111" s="38"/>
      <c r="D111" s="38"/>
      <c r="F111" s="60">
        <f t="shared" si="7"/>
        <v>0</v>
      </c>
    </row>
    <row r="112" spans="1:6">
      <c r="A112" s="31" t="s">
        <v>46</v>
      </c>
      <c r="B112" s="31" t="s">
        <v>239</v>
      </c>
      <c r="C112" s="38"/>
      <c r="D112" s="38"/>
      <c r="F112" s="60">
        <f t="shared" si="7"/>
        <v>0</v>
      </c>
    </row>
    <row r="113" spans="1:6">
      <c r="A113" s="31" t="s">
        <v>47</v>
      </c>
      <c r="B113" s="31" t="s">
        <v>240</v>
      </c>
      <c r="C113" s="38"/>
      <c r="D113" s="38"/>
      <c r="F113" s="60">
        <f t="shared" si="7"/>
        <v>0</v>
      </c>
    </row>
    <row r="114" spans="1:6">
      <c r="A114" s="31" t="s">
        <v>48</v>
      </c>
      <c r="B114" s="31" t="s">
        <v>49</v>
      </c>
      <c r="C114" s="38"/>
      <c r="D114" s="38"/>
      <c r="F114" s="60">
        <f t="shared" si="7"/>
        <v>0</v>
      </c>
    </row>
    <row r="115" spans="1:6">
      <c r="A115" s="31" t="s">
        <v>82</v>
      </c>
      <c r="B115" s="31" t="s">
        <v>166</v>
      </c>
      <c r="C115" s="38"/>
      <c r="D115" s="38"/>
      <c r="F115" s="60">
        <f t="shared" si="7"/>
        <v>0</v>
      </c>
    </row>
    <row r="116" spans="1:6">
      <c r="A116" s="31" t="s">
        <v>104</v>
      </c>
      <c r="B116" s="31" t="s">
        <v>103</v>
      </c>
      <c r="C116" s="38"/>
      <c r="D116" s="38"/>
      <c r="F116" s="60">
        <f t="shared" si="7"/>
        <v>0</v>
      </c>
    </row>
    <row r="117" spans="1:6">
      <c r="A117" s="31" t="s">
        <v>59</v>
      </c>
      <c r="B117" s="31" t="s">
        <v>318</v>
      </c>
      <c r="C117" s="38"/>
      <c r="D117" s="38"/>
      <c r="F117" s="60">
        <f t="shared" si="7"/>
        <v>0</v>
      </c>
    </row>
    <row r="118" spans="1:6">
      <c r="A118" s="31" t="s">
        <v>87</v>
      </c>
      <c r="B118" s="31" t="s">
        <v>88</v>
      </c>
      <c r="C118" s="38"/>
      <c r="D118" s="38"/>
      <c r="F118" s="60">
        <f t="shared" si="7"/>
        <v>0</v>
      </c>
    </row>
    <row r="119" spans="1:6">
      <c r="A119" s="31" t="s">
        <v>89</v>
      </c>
      <c r="B119" s="31" t="s">
        <v>90</v>
      </c>
      <c r="C119" s="38"/>
      <c r="D119" s="38"/>
      <c r="F119" s="60">
        <f t="shared" si="7"/>
        <v>0</v>
      </c>
    </row>
    <row r="120" spans="1:6">
      <c r="A120" s="31" t="s">
        <v>413</v>
      </c>
      <c r="B120" s="31" t="s">
        <v>414</v>
      </c>
      <c r="C120" s="38"/>
      <c r="D120" s="38"/>
      <c r="F120" s="60">
        <f t="shared" si="7"/>
        <v>0</v>
      </c>
    </row>
    <row r="121" spans="1:6">
      <c r="A121" s="31" t="s">
        <v>52</v>
      </c>
      <c r="B121" s="31" t="s">
        <v>53</v>
      </c>
      <c r="C121" s="39"/>
      <c r="D121" s="39"/>
      <c r="F121" s="59">
        <f t="shared" si="7"/>
        <v>0</v>
      </c>
    </row>
    <row r="122" spans="1:6">
      <c r="B122" s="31" t="s">
        <v>241</v>
      </c>
      <c r="C122" s="38">
        <f>SUM(C108:C121)</f>
        <v>0</v>
      </c>
      <c r="D122" s="38">
        <f>SUM(D108:D121)</f>
        <v>0</v>
      </c>
      <c r="F122" s="50">
        <f>SUM(F108:F121)</f>
        <v>0</v>
      </c>
    </row>
    <row r="123" spans="1:6">
      <c r="C123" s="38"/>
      <c r="D123" s="38"/>
      <c r="F123" s="50"/>
    </row>
    <row r="124" spans="1:6">
      <c r="A124" s="31" t="s">
        <v>242</v>
      </c>
      <c r="C124" s="38"/>
      <c r="D124" s="38"/>
      <c r="F124" s="50"/>
    </row>
    <row r="125" spans="1:6">
      <c r="A125" s="31" t="s">
        <v>56</v>
      </c>
      <c r="B125" s="31" t="s">
        <v>245</v>
      </c>
      <c r="C125" s="38"/>
      <c r="D125" s="38"/>
      <c r="F125" s="60">
        <f t="shared" ref="F125:F132" si="8">SUM(C125:D125)</f>
        <v>0</v>
      </c>
    </row>
    <row r="126" spans="1:6">
      <c r="A126" s="31" t="s">
        <v>57</v>
      </c>
      <c r="B126" s="31" t="s">
        <v>246</v>
      </c>
      <c r="C126" s="38"/>
      <c r="D126" s="38"/>
      <c r="F126" s="60">
        <f t="shared" si="8"/>
        <v>0</v>
      </c>
    </row>
    <row r="127" spans="1:6">
      <c r="A127" s="31" t="s">
        <v>58</v>
      </c>
      <c r="B127" s="31" t="s">
        <v>247</v>
      </c>
      <c r="C127" s="38"/>
      <c r="D127" s="38"/>
      <c r="F127" s="60">
        <f t="shared" si="8"/>
        <v>0</v>
      </c>
    </row>
    <row r="128" spans="1:6">
      <c r="A128" s="31" t="s">
        <v>55</v>
      </c>
      <c r="B128" s="31" t="s">
        <v>244</v>
      </c>
      <c r="C128" s="38"/>
      <c r="D128" s="38"/>
      <c r="F128" s="60">
        <f t="shared" si="8"/>
        <v>0</v>
      </c>
    </row>
    <row r="129" spans="1:6" ht="10.5" customHeight="1">
      <c r="A129" s="31" t="s">
        <v>54</v>
      </c>
      <c r="B129" s="31" t="s">
        <v>243</v>
      </c>
      <c r="C129" s="38"/>
      <c r="D129" s="38"/>
      <c r="F129" s="60">
        <f t="shared" si="8"/>
        <v>0</v>
      </c>
    </row>
    <row r="130" spans="1:6">
      <c r="A130" s="31" t="s">
        <v>60</v>
      </c>
      <c r="B130" s="31" t="s">
        <v>61</v>
      </c>
      <c r="C130" s="38"/>
      <c r="D130" s="38"/>
      <c r="F130" s="60">
        <f t="shared" si="8"/>
        <v>0</v>
      </c>
    </row>
    <row r="131" spans="1:6">
      <c r="A131" s="31" t="s">
        <v>411</v>
      </c>
      <c r="B131" s="31" t="s">
        <v>412</v>
      </c>
      <c r="C131" s="38"/>
      <c r="D131" s="38"/>
      <c r="F131" s="60">
        <f t="shared" si="8"/>
        <v>0</v>
      </c>
    </row>
    <row r="132" spans="1:6">
      <c r="A132" s="31" t="s">
        <v>62</v>
      </c>
      <c r="B132" s="31" t="s">
        <v>248</v>
      </c>
      <c r="C132" s="39"/>
      <c r="D132" s="39"/>
      <c r="F132" s="59">
        <f t="shared" si="8"/>
        <v>0</v>
      </c>
    </row>
    <row r="133" spans="1:6">
      <c r="B133" s="31" t="s">
        <v>249</v>
      </c>
      <c r="C133" s="38">
        <f>SUM(C125:C132)</f>
        <v>0</v>
      </c>
      <c r="D133" s="38">
        <f>SUM(D125:D132)</f>
        <v>0</v>
      </c>
      <c r="F133" s="50">
        <f>SUM(F125:F132)</f>
        <v>0</v>
      </c>
    </row>
    <row r="134" spans="1:6">
      <c r="C134" s="38"/>
      <c r="D134" s="38"/>
      <c r="F134" s="50"/>
    </row>
    <row r="135" spans="1:6">
      <c r="A135" s="31" t="s">
        <v>250</v>
      </c>
      <c r="C135" s="38"/>
      <c r="D135" s="38"/>
      <c r="F135" s="50"/>
    </row>
    <row r="136" spans="1:6">
      <c r="A136" s="31" t="s">
        <v>251</v>
      </c>
      <c r="C136" s="38"/>
      <c r="D136" s="38"/>
      <c r="F136" s="50"/>
    </row>
    <row r="137" spans="1:6">
      <c r="A137" s="31" t="s">
        <v>63</v>
      </c>
      <c r="B137" s="31" t="s">
        <v>252</v>
      </c>
      <c r="C137" s="38"/>
      <c r="D137" s="38"/>
      <c r="F137" s="60">
        <f t="shared" ref="F137:F140" si="9">SUM(C137:D137)</f>
        <v>0</v>
      </c>
    </row>
    <row r="138" spans="1:6">
      <c r="A138" s="31" t="s">
        <v>64</v>
      </c>
      <c r="B138" s="31" t="s">
        <v>253</v>
      </c>
      <c r="C138" s="38"/>
      <c r="D138" s="38"/>
      <c r="F138" s="60">
        <f t="shared" si="9"/>
        <v>0</v>
      </c>
    </row>
    <row r="139" spans="1:6">
      <c r="A139" s="31" t="s">
        <v>417</v>
      </c>
      <c r="B139" s="31" t="s">
        <v>418</v>
      </c>
      <c r="C139" s="38"/>
      <c r="D139" s="38"/>
      <c r="F139" s="60">
        <f t="shared" si="9"/>
        <v>0</v>
      </c>
    </row>
    <row r="140" spans="1:6">
      <c r="A140" s="31" t="s">
        <v>65</v>
      </c>
      <c r="B140" s="31" t="s">
        <v>254</v>
      </c>
      <c r="C140" s="39"/>
      <c r="D140" s="39"/>
      <c r="F140" s="59">
        <f t="shared" si="9"/>
        <v>0</v>
      </c>
    </row>
    <row r="141" spans="1:6">
      <c r="B141" s="31" t="s">
        <v>255</v>
      </c>
      <c r="C141" s="38">
        <f>SUM(C137:C140)</f>
        <v>0</v>
      </c>
      <c r="D141" s="38">
        <f>SUM(D137:D140)</f>
        <v>0</v>
      </c>
      <c r="F141" s="50">
        <f>SUM(F137:F140)</f>
        <v>0</v>
      </c>
    </row>
    <row r="142" spans="1:6">
      <c r="C142" s="38"/>
      <c r="D142" s="38"/>
      <c r="F142" s="50"/>
    </row>
    <row r="143" spans="1:6">
      <c r="A143" s="31" t="s">
        <v>256</v>
      </c>
      <c r="C143" s="38"/>
      <c r="D143" s="38"/>
      <c r="F143" s="50"/>
    </row>
    <row r="144" spans="1:6">
      <c r="A144" s="31" t="s">
        <v>66</v>
      </c>
      <c r="B144" s="31" t="s">
        <v>257</v>
      </c>
      <c r="C144" s="38"/>
      <c r="D144" s="38"/>
      <c r="F144" s="60">
        <f t="shared" ref="F144:F149" si="10">SUM(C144:D144)</f>
        <v>0</v>
      </c>
    </row>
    <row r="145" spans="1:6">
      <c r="A145" s="31" t="s">
        <v>67</v>
      </c>
      <c r="B145" s="31" t="s">
        <v>258</v>
      </c>
      <c r="C145" s="38"/>
      <c r="D145" s="38"/>
      <c r="F145" s="60">
        <f t="shared" si="10"/>
        <v>0</v>
      </c>
    </row>
    <row r="146" spans="1:6">
      <c r="A146" s="31" t="s">
        <v>68</v>
      </c>
      <c r="B146" s="31" t="s">
        <v>259</v>
      </c>
      <c r="C146" s="38"/>
      <c r="D146" s="38"/>
      <c r="F146" s="60">
        <f t="shared" si="10"/>
        <v>0</v>
      </c>
    </row>
    <row r="147" spans="1:6">
      <c r="A147" s="31" t="s">
        <v>69</v>
      </c>
      <c r="B147" s="31" t="s">
        <v>260</v>
      </c>
      <c r="C147" s="38"/>
      <c r="D147" s="38"/>
      <c r="F147" s="60">
        <f t="shared" si="10"/>
        <v>0</v>
      </c>
    </row>
    <row r="148" spans="1:6" ht="12" customHeight="1">
      <c r="A148" s="31" t="s">
        <v>70</v>
      </c>
      <c r="B148" s="31" t="s">
        <v>261</v>
      </c>
      <c r="C148" s="38"/>
      <c r="D148" s="38"/>
      <c r="F148" s="60">
        <f t="shared" si="10"/>
        <v>0</v>
      </c>
    </row>
    <row r="149" spans="1:6">
      <c r="A149" s="31" t="s">
        <v>425</v>
      </c>
      <c r="B149" s="31" t="s">
        <v>427</v>
      </c>
      <c r="C149" s="39"/>
      <c r="D149" s="39"/>
      <c r="F149" s="59">
        <f t="shared" si="10"/>
        <v>0</v>
      </c>
    </row>
    <row r="150" spans="1:6">
      <c r="B150" s="31" t="s">
        <v>262</v>
      </c>
      <c r="C150" s="38">
        <f>SUM(C144:C149)</f>
        <v>0</v>
      </c>
      <c r="D150" s="38">
        <f>SUM(D144:D149)</f>
        <v>0</v>
      </c>
      <c r="F150" s="50">
        <f>SUM(F144:F149)</f>
        <v>0</v>
      </c>
    </row>
    <row r="151" spans="1:6">
      <c r="C151" s="38"/>
      <c r="D151" s="38"/>
      <c r="F151" s="50"/>
    </row>
    <row r="152" spans="1:6">
      <c r="A152" s="31" t="s">
        <v>263</v>
      </c>
      <c r="C152" s="38"/>
      <c r="D152" s="38"/>
      <c r="F152" s="50"/>
    </row>
    <row r="153" spans="1:6">
      <c r="A153" s="31" t="s">
        <v>264</v>
      </c>
      <c r="C153" s="38"/>
      <c r="D153" s="38"/>
      <c r="F153" s="50"/>
    </row>
    <row r="154" spans="1:6">
      <c r="A154" s="31" t="s">
        <v>71</v>
      </c>
      <c r="B154" s="31" t="s">
        <v>72</v>
      </c>
      <c r="C154" s="39"/>
      <c r="D154" s="39"/>
      <c r="F154" s="59">
        <f t="shared" ref="F154" si="11">SUM(C154:D154)</f>
        <v>0</v>
      </c>
    </row>
    <row r="155" spans="1:6">
      <c r="B155" s="31" t="s">
        <v>265</v>
      </c>
      <c r="C155" s="38">
        <f>SUM(C154)</f>
        <v>0</v>
      </c>
      <c r="D155" s="38">
        <f>SUM(D154)</f>
        <v>0</v>
      </c>
      <c r="F155" s="50">
        <f>SUM(F154)</f>
        <v>0</v>
      </c>
    </row>
    <row r="156" spans="1:6">
      <c r="C156" s="38"/>
      <c r="D156" s="38"/>
      <c r="F156" s="50"/>
    </row>
    <row r="157" spans="1:6">
      <c r="A157" s="31" t="s">
        <v>266</v>
      </c>
      <c r="C157" s="38"/>
      <c r="D157" s="38"/>
      <c r="F157" s="50"/>
    </row>
    <row r="158" spans="1:6">
      <c r="A158" s="31" t="s">
        <v>73</v>
      </c>
      <c r="B158" s="31" t="s">
        <v>74</v>
      </c>
      <c r="C158" s="38"/>
      <c r="D158" s="38"/>
      <c r="F158" s="60">
        <f t="shared" ref="F158:F170" si="12">SUM(C158:D158)</f>
        <v>0</v>
      </c>
    </row>
    <row r="159" spans="1:6">
      <c r="A159" s="31" t="s">
        <v>75</v>
      </c>
      <c r="B159" s="31" t="s">
        <v>154</v>
      </c>
      <c r="C159" s="38"/>
      <c r="D159" s="38"/>
      <c r="F159" s="60">
        <f t="shared" si="12"/>
        <v>0</v>
      </c>
    </row>
    <row r="160" spans="1:6">
      <c r="A160" s="31" t="s">
        <v>442</v>
      </c>
      <c r="B160" s="31" t="s">
        <v>97</v>
      </c>
      <c r="C160" s="38"/>
      <c r="D160" s="38"/>
      <c r="F160" s="60">
        <f t="shared" si="12"/>
        <v>0</v>
      </c>
    </row>
    <row r="161" spans="1:6">
      <c r="A161" s="31" t="s">
        <v>443</v>
      </c>
      <c r="B161" s="31" t="s">
        <v>421</v>
      </c>
      <c r="C161" s="38"/>
      <c r="D161" s="38"/>
      <c r="F161" s="60">
        <f t="shared" si="12"/>
        <v>0</v>
      </c>
    </row>
    <row r="162" spans="1:6">
      <c r="A162" s="31" t="s">
        <v>444</v>
      </c>
      <c r="B162" s="31" t="s">
        <v>423</v>
      </c>
      <c r="C162" s="38"/>
      <c r="D162" s="38"/>
      <c r="F162" s="60">
        <f t="shared" si="12"/>
        <v>0</v>
      </c>
    </row>
    <row r="163" spans="1:6">
      <c r="A163" s="31" t="s">
        <v>445</v>
      </c>
      <c r="B163" s="31" t="s">
        <v>416</v>
      </c>
      <c r="C163" s="38"/>
      <c r="D163" s="38"/>
      <c r="F163" s="60">
        <f t="shared" si="12"/>
        <v>0</v>
      </c>
    </row>
    <row r="164" spans="1:6">
      <c r="A164" s="31" t="s">
        <v>76</v>
      </c>
      <c r="B164" s="31" t="s">
        <v>155</v>
      </c>
      <c r="C164" s="38"/>
      <c r="D164" s="38"/>
      <c r="F164" s="60">
        <f t="shared" si="12"/>
        <v>0</v>
      </c>
    </row>
    <row r="165" spans="1:6">
      <c r="A165" s="31" t="s">
        <v>79</v>
      </c>
      <c r="B165" s="31" t="s">
        <v>156</v>
      </c>
      <c r="C165" s="38"/>
      <c r="D165" s="38"/>
      <c r="F165" s="60">
        <f t="shared" si="12"/>
        <v>0</v>
      </c>
    </row>
    <row r="166" spans="1:6">
      <c r="A166" s="31" t="s">
        <v>78</v>
      </c>
      <c r="B166" s="31" t="s">
        <v>157</v>
      </c>
      <c r="C166" s="38"/>
      <c r="D166" s="38"/>
      <c r="F166" s="60">
        <f t="shared" si="12"/>
        <v>0</v>
      </c>
    </row>
    <row r="167" spans="1:6">
      <c r="A167" s="31" t="s">
        <v>77</v>
      </c>
      <c r="B167" s="31" t="s">
        <v>158</v>
      </c>
      <c r="C167" s="38"/>
      <c r="D167" s="38"/>
      <c r="F167" s="60">
        <f t="shared" si="12"/>
        <v>0</v>
      </c>
    </row>
    <row r="168" spans="1:6">
      <c r="A168" s="31" t="s">
        <v>80</v>
      </c>
      <c r="B168" s="31" t="s">
        <v>159</v>
      </c>
      <c r="C168" s="38"/>
      <c r="D168" s="38"/>
      <c r="F168" s="60">
        <f t="shared" si="12"/>
        <v>0</v>
      </c>
    </row>
    <row r="169" spans="1:6">
      <c r="A169" s="31" t="s">
        <v>81</v>
      </c>
      <c r="B169" s="31" t="s">
        <v>160</v>
      </c>
      <c r="C169" s="38"/>
      <c r="D169" s="38"/>
      <c r="F169" s="60">
        <f t="shared" si="12"/>
        <v>0</v>
      </c>
    </row>
    <row r="170" spans="1:6">
      <c r="A170" s="31" t="s">
        <v>161</v>
      </c>
      <c r="B170" s="31" t="s">
        <v>162</v>
      </c>
      <c r="C170" s="39"/>
      <c r="D170" s="39"/>
      <c r="F170" s="59">
        <f t="shared" si="12"/>
        <v>0</v>
      </c>
    </row>
    <row r="171" spans="1:6">
      <c r="B171" s="31" t="s">
        <v>163</v>
      </c>
      <c r="C171" s="38">
        <f>SUM(C158:C170)</f>
        <v>0</v>
      </c>
      <c r="D171" s="38">
        <f>SUM(D158:D170)</f>
        <v>0</v>
      </c>
      <c r="F171" s="50">
        <f>SUM(F158:F170)</f>
        <v>0</v>
      </c>
    </row>
    <row r="172" spans="1:6">
      <c r="C172" s="38"/>
      <c r="D172" s="38"/>
      <c r="F172" s="50"/>
    </row>
    <row r="173" spans="1:6">
      <c r="A173" s="31" t="s">
        <v>164</v>
      </c>
      <c r="C173" s="38"/>
      <c r="D173" s="38"/>
      <c r="F173" s="50"/>
    </row>
    <row r="174" spans="1:6">
      <c r="A174" s="31" t="s">
        <v>165</v>
      </c>
      <c r="C174" s="38"/>
      <c r="D174" s="38"/>
      <c r="F174" s="50"/>
    </row>
    <row r="175" spans="1:6">
      <c r="A175" s="31" t="s">
        <v>86</v>
      </c>
      <c r="B175" s="31" t="s">
        <v>85</v>
      </c>
      <c r="C175" s="38"/>
      <c r="D175" s="38"/>
      <c r="F175" s="60">
        <f t="shared" ref="F175:F185" si="13">SUM(C175:D175)</f>
        <v>0</v>
      </c>
    </row>
    <row r="176" spans="1:6">
      <c r="A176" s="31" t="s">
        <v>91</v>
      </c>
      <c r="B176" s="31" t="s">
        <v>92</v>
      </c>
      <c r="C176" s="38"/>
      <c r="D176" s="38"/>
      <c r="F176" s="60">
        <f t="shared" si="13"/>
        <v>0</v>
      </c>
    </row>
    <row r="177" spans="1:6">
      <c r="A177" s="31" t="s">
        <v>93</v>
      </c>
      <c r="B177" s="31" t="s">
        <v>94</v>
      </c>
      <c r="C177" s="38"/>
      <c r="D177" s="38"/>
      <c r="F177" s="60">
        <f t="shared" si="13"/>
        <v>0</v>
      </c>
    </row>
    <row r="178" spans="1:6">
      <c r="A178" s="31" t="s">
        <v>95</v>
      </c>
      <c r="B178" s="31" t="s">
        <v>405</v>
      </c>
      <c r="C178" s="38"/>
      <c r="D178" s="38"/>
      <c r="F178" s="60">
        <f t="shared" si="13"/>
        <v>0</v>
      </c>
    </row>
    <row r="179" spans="1:6">
      <c r="A179" s="31" t="s">
        <v>96</v>
      </c>
      <c r="B179" s="31" t="s">
        <v>404</v>
      </c>
      <c r="C179" s="38"/>
      <c r="D179" s="38"/>
      <c r="F179" s="60">
        <f t="shared" si="13"/>
        <v>0</v>
      </c>
    </row>
    <row r="180" spans="1:6">
      <c r="A180" s="31" t="s">
        <v>98</v>
      </c>
      <c r="B180" s="31" t="s">
        <v>99</v>
      </c>
      <c r="C180" s="38"/>
      <c r="D180" s="38"/>
      <c r="F180" s="60">
        <f t="shared" si="13"/>
        <v>0</v>
      </c>
    </row>
    <row r="181" spans="1:6">
      <c r="A181" s="31" t="s">
        <v>100</v>
      </c>
      <c r="B181" s="31" t="s">
        <v>284</v>
      </c>
      <c r="C181" s="38"/>
      <c r="D181" s="38"/>
      <c r="F181" s="60">
        <f t="shared" si="13"/>
        <v>0</v>
      </c>
    </row>
    <row r="182" spans="1:6">
      <c r="A182" s="31" t="s">
        <v>101</v>
      </c>
      <c r="B182" s="31" t="s">
        <v>102</v>
      </c>
      <c r="C182" s="38"/>
      <c r="D182" s="38"/>
      <c r="F182" s="60">
        <f t="shared" si="13"/>
        <v>0</v>
      </c>
    </row>
    <row r="183" spans="1:6">
      <c r="A183" s="31" t="s">
        <v>105</v>
      </c>
      <c r="B183" s="31" t="s">
        <v>167</v>
      </c>
      <c r="C183" s="38"/>
      <c r="D183" s="38"/>
      <c r="F183" s="60">
        <f t="shared" si="13"/>
        <v>0</v>
      </c>
    </row>
    <row r="184" spans="1:6">
      <c r="A184" s="31" t="s">
        <v>106</v>
      </c>
      <c r="B184" s="31" t="s">
        <v>107</v>
      </c>
      <c r="C184" s="38"/>
      <c r="D184" s="38"/>
      <c r="F184" s="60">
        <f t="shared" si="13"/>
        <v>0</v>
      </c>
    </row>
    <row r="185" spans="1:6">
      <c r="A185" s="31" t="s">
        <v>428</v>
      </c>
      <c r="B185" s="31" t="s">
        <v>429</v>
      </c>
      <c r="C185" s="39"/>
      <c r="D185" s="39"/>
      <c r="F185" s="59">
        <f t="shared" si="13"/>
        <v>0</v>
      </c>
    </row>
    <row r="186" spans="1:6">
      <c r="B186" s="31" t="s">
        <v>168</v>
      </c>
      <c r="C186" s="38">
        <f>SUM(C175:C185)</f>
        <v>0</v>
      </c>
      <c r="D186" s="38">
        <f>SUM(D175:D185)</f>
        <v>0</v>
      </c>
      <c r="F186" s="50">
        <f>SUM(F175:F185)</f>
        <v>0</v>
      </c>
    </row>
    <row r="187" spans="1:6">
      <c r="C187" s="38"/>
      <c r="D187" s="38"/>
      <c r="F187" s="50"/>
    </row>
    <row r="188" spans="1:6" s="4" customFormat="1">
      <c r="A188" s="35"/>
      <c r="B188" s="35" t="s">
        <v>169</v>
      </c>
      <c r="C188" s="40">
        <f>SUM(C122+C133+C141+C150+C155+C171+C186)</f>
        <v>0</v>
      </c>
      <c r="D188" s="40">
        <f>SUM(D122+D133+D141+D150+D155+D171+D186)</f>
        <v>0</v>
      </c>
      <c r="F188" s="40">
        <f>SUM(F122+F133+F141+F150+F155+F171+F186)</f>
        <v>0</v>
      </c>
    </row>
    <row r="189" spans="1:6">
      <c r="C189" s="38"/>
      <c r="D189" s="38"/>
      <c r="F189" s="50"/>
    </row>
    <row r="190" spans="1:6">
      <c r="B190" s="35" t="s">
        <v>435</v>
      </c>
      <c r="C190" s="38"/>
      <c r="D190" s="38"/>
      <c r="F190" s="40">
        <f>SUM(F104+F188)</f>
        <v>0</v>
      </c>
    </row>
    <row r="191" spans="1:6" s="4" customFormat="1">
      <c r="A191" s="31"/>
      <c r="B191" s="31"/>
      <c r="C191" s="38"/>
      <c r="D191" s="38"/>
      <c r="F191" s="40"/>
    </row>
    <row r="192" spans="1:6">
      <c r="A192" s="35"/>
      <c r="B192" s="35" t="s">
        <v>170</v>
      </c>
      <c r="C192" s="40">
        <f>+C68-C104-C188</f>
        <v>0</v>
      </c>
      <c r="D192" s="40">
        <f>+D68-D104-D188</f>
        <v>0</v>
      </c>
      <c r="F192" s="40">
        <f>+F68-F104-F188</f>
        <v>0</v>
      </c>
    </row>
    <row r="193" spans="1:6">
      <c r="F193" s="50"/>
    </row>
    <row r="194" spans="1:6">
      <c r="A194" s="78"/>
      <c r="F194" s="50"/>
    </row>
    <row r="195" spans="1:6">
      <c r="A195" s="78"/>
    </row>
    <row r="196" spans="1:6">
      <c r="B196" s="26"/>
    </row>
  </sheetData>
  <phoneticPr fontId="5" type="noConversion"/>
  <pageMargins left="0.75" right="0.75" top="1.45" bottom="0.44" header="0.17" footer="0.17"/>
  <pageSetup orientation="portrait"/>
  <headerFooter alignWithMargins="0">
    <oddHeader>&amp;C&amp;"MS Sans Serif,Bold"&amp;18ISL
BUDGET '13-2014
21ST CENTURY LEARNING PROGRAM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2:I19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21" sqref="E121"/>
    </sheetView>
  </sheetViews>
  <sheetFormatPr baseColWidth="10" defaultColWidth="11.42578125" defaultRowHeight="10" x14ac:dyDescent="0"/>
  <cols>
    <col min="1" max="1" width="15" style="31" customWidth="1"/>
    <col min="2" max="2" width="26.85546875" style="31" customWidth="1"/>
    <col min="3" max="7" width="11.42578125" style="1"/>
    <col min="8" max="8" width="11.42578125" style="37"/>
    <col min="9" max="16384" width="11.42578125" style="1"/>
  </cols>
  <sheetData>
    <row r="2" spans="1:8">
      <c r="B2" s="30" t="s">
        <v>614</v>
      </c>
    </row>
    <row r="3" spans="1:8">
      <c r="B3" s="174" t="s">
        <v>584</v>
      </c>
    </row>
    <row r="4" spans="1:8">
      <c r="A4" s="31" t="s">
        <v>433</v>
      </c>
      <c r="B4" s="32">
        <v>490</v>
      </c>
    </row>
    <row r="5" spans="1:8">
      <c r="A5" s="31" t="s">
        <v>586</v>
      </c>
      <c r="B5" s="32">
        <v>150</v>
      </c>
    </row>
    <row r="6" spans="1:8">
      <c r="A6" s="31" t="s">
        <v>434</v>
      </c>
      <c r="B6" s="32">
        <v>215</v>
      </c>
    </row>
    <row r="7" spans="1:8" s="8" customFormat="1">
      <c r="A7" s="28" t="s">
        <v>587</v>
      </c>
      <c r="B7" s="32">
        <v>400</v>
      </c>
      <c r="C7" s="55">
        <v>1</v>
      </c>
      <c r="D7" s="55">
        <v>1</v>
      </c>
      <c r="E7" s="55">
        <v>1</v>
      </c>
      <c r="F7" s="55">
        <v>1</v>
      </c>
      <c r="H7" s="85"/>
    </row>
    <row r="8" spans="1:8">
      <c r="B8" s="175">
        <f>SUM(B4:B7)</f>
        <v>1255</v>
      </c>
    </row>
    <row r="9" spans="1:8">
      <c r="C9" s="1" t="s">
        <v>598</v>
      </c>
      <c r="D9" s="1" t="s">
        <v>597</v>
      </c>
      <c r="E9" s="1" t="s">
        <v>581</v>
      </c>
      <c r="F9" s="1" t="s">
        <v>596</v>
      </c>
    </row>
    <row r="10" spans="1:8" s="7" customFormat="1" ht="11" thickBot="1">
      <c r="A10" s="33"/>
      <c r="B10" s="33" t="s">
        <v>174</v>
      </c>
      <c r="C10" s="7">
        <v>2322</v>
      </c>
      <c r="D10" s="7">
        <v>2322</v>
      </c>
      <c r="E10" s="7">
        <v>2322</v>
      </c>
      <c r="F10" s="7">
        <v>2322</v>
      </c>
      <c r="H10" s="86"/>
    </row>
    <row r="11" spans="1:8">
      <c r="A11" s="31" t="s">
        <v>268</v>
      </c>
    </row>
    <row r="12" spans="1:8">
      <c r="A12" s="31" t="s">
        <v>269</v>
      </c>
    </row>
    <row r="13" spans="1:8">
      <c r="A13" s="31" t="s">
        <v>171</v>
      </c>
      <c r="B13" s="31" t="s">
        <v>270</v>
      </c>
      <c r="C13" s="38">
        <v>60000</v>
      </c>
      <c r="D13" s="38">
        <v>5000</v>
      </c>
      <c r="E13" s="38"/>
      <c r="F13" s="38">
        <v>60000</v>
      </c>
      <c r="G13" s="9"/>
      <c r="H13" s="163">
        <f>SUM(C13:F13)</f>
        <v>125000</v>
      </c>
    </row>
    <row r="14" spans="1:8">
      <c r="A14" s="31" t="s">
        <v>172</v>
      </c>
      <c r="B14" s="31" t="s">
        <v>271</v>
      </c>
      <c r="C14" s="38">
        <v>60000</v>
      </c>
      <c r="D14" s="38">
        <v>60000</v>
      </c>
      <c r="E14" s="38"/>
      <c r="F14" s="38"/>
      <c r="G14" s="16"/>
      <c r="H14" s="163">
        <f t="shared" ref="H14:H37" si="0">SUM(C14:F14)</f>
        <v>120000</v>
      </c>
    </row>
    <row r="15" spans="1:8">
      <c r="A15" s="31" t="s">
        <v>173</v>
      </c>
      <c r="B15" s="31" t="s">
        <v>272</v>
      </c>
      <c r="C15" s="38"/>
      <c r="D15" s="38">
        <v>5000</v>
      </c>
      <c r="E15" s="38"/>
      <c r="F15" s="38"/>
      <c r="H15" s="163">
        <f t="shared" si="0"/>
        <v>5000</v>
      </c>
    </row>
    <row r="16" spans="1:8">
      <c r="A16" s="31" t="s">
        <v>193</v>
      </c>
      <c r="B16" s="31" t="s">
        <v>273</v>
      </c>
      <c r="C16" s="38"/>
      <c r="D16" s="38"/>
      <c r="E16" s="38"/>
      <c r="F16" s="38"/>
      <c r="H16" s="163">
        <f t="shared" si="0"/>
        <v>0</v>
      </c>
    </row>
    <row r="17" spans="1:9">
      <c r="A17" s="31" t="s">
        <v>194</v>
      </c>
      <c r="B17" s="31" t="s">
        <v>274</v>
      </c>
      <c r="C17" s="38"/>
      <c r="D17" s="38"/>
      <c r="E17" s="38"/>
      <c r="F17" s="38"/>
      <c r="H17" s="163">
        <f t="shared" si="0"/>
        <v>0</v>
      </c>
    </row>
    <row r="18" spans="1:9">
      <c r="A18" s="31" t="s">
        <v>195</v>
      </c>
      <c r="B18" s="31" t="s">
        <v>275</v>
      </c>
      <c r="C18" s="38"/>
      <c r="D18" s="38"/>
      <c r="E18" s="38"/>
      <c r="F18" s="38"/>
      <c r="H18" s="163">
        <f t="shared" si="0"/>
        <v>0</v>
      </c>
    </row>
    <row r="19" spans="1:9">
      <c r="A19" s="31" t="s">
        <v>196</v>
      </c>
      <c r="B19" s="31" t="s">
        <v>276</v>
      </c>
      <c r="C19" s="38"/>
      <c r="D19" s="38"/>
      <c r="E19" s="38"/>
      <c r="F19" s="38"/>
      <c r="H19" s="163">
        <f t="shared" si="0"/>
        <v>0</v>
      </c>
    </row>
    <row r="20" spans="1:9">
      <c r="A20" s="31" t="s">
        <v>197</v>
      </c>
      <c r="B20" s="31" t="s">
        <v>277</v>
      </c>
      <c r="C20" s="38"/>
      <c r="D20" s="38"/>
      <c r="E20" s="38"/>
      <c r="F20" s="38"/>
      <c r="H20" s="163">
        <f t="shared" si="0"/>
        <v>0</v>
      </c>
    </row>
    <row r="21" spans="1:9">
      <c r="A21" s="31" t="s">
        <v>198</v>
      </c>
      <c r="B21" s="31" t="s">
        <v>278</v>
      </c>
      <c r="C21" s="38"/>
      <c r="D21" s="38"/>
      <c r="E21" s="38"/>
      <c r="F21" s="38"/>
      <c r="H21" s="163">
        <f t="shared" si="0"/>
        <v>0</v>
      </c>
    </row>
    <row r="22" spans="1:9">
      <c r="A22" s="31" t="s">
        <v>199</v>
      </c>
      <c r="B22" s="31" t="s">
        <v>279</v>
      </c>
      <c r="C22" s="38"/>
      <c r="D22" s="38"/>
      <c r="E22" s="38"/>
      <c r="F22" s="38"/>
      <c r="H22" s="163">
        <f t="shared" si="0"/>
        <v>0</v>
      </c>
    </row>
    <row r="23" spans="1:9">
      <c r="A23" s="31" t="s">
        <v>200</v>
      </c>
      <c r="B23" s="31" t="s">
        <v>280</v>
      </c>
      <c r="C23" s="38"/>
      <c r="D23" s="38"/>
      <c r="E23" s="38"/>
      <c r="F23" s="38"/>
      <c r="H23" s="163">
        <f t="shared" si="0"/>
        <v>0</v>
      </c>
    </row>
    <row r="24" spans="1:9">
      <c r="A24" s="31" t="s">
        <v>201</v>
      </c>
      <c r="B24" s="31" t="s">
        <v>281</v>
      </c>
      <c r="C24" s="38"/>
      <c r="D24" s="38"/>
      <c r="E24" s="38"/>
      <c r="F24" s="38"/>
      <c r="H24" s="163">
        <f t="shared" si="0"/>
        <v>0</v>
      </c>
    </row>
    <row r="25" spans="1:9">
      <c r="A25" s="31" t="s">
        <v>202</v>
      </c>
      <c r="B25" s="31" t="s">
        <v>282</v>
      </c>
      <c r="C25" s="38"/>
      <c r="D25" s="38"/>
      <c r="E25" s="38"/>
      <c r="F25" s="38"/>
      <c r="H25" s="163">
        <f t="shared" si="0"/>
        <v>0</v>
      </c>
    </row>
    <row r="26" spans="1:9">
      <c r="A26" s="31" t="s">
        <v>203</v>
      </c>
      <c r="B26" s="31" t="s">
        <v>283</v>
      </c>
      <c r="C26" s="38"/>
      <c r="D26" s="38"/>
      <c r="E26" s="38"/>
      <c r="F26" s="38"/>
      <c r="H26" s="163">
        <f t="shared" si="0"/>
        <v>0</v>
      </c>
    </row>
    <row r="27" spans="1:9">
      <c r="A27" s="31" t="s">
        <v>204</v>
      </c>
      <c r="B27" s="31" t="s">
        <v>284</v>
      </c>
      <c r="C27" s="38"/>
      <c r="D27" s="38"/>
      <c r="E27" s="38"/>
      <c r="F27" s="38"/>
      <c r="H27" s="163">
        <f t="shared" si="0"/>
        <v>0</v>
      </c>
    </row>
    <row r="28" spans="1:9">
      <c r="A28" s="31" t="s">
        <v>205</v>
      </c>
      <c r="B28" s="31" t="s">
        <v>285</v>
      </c>
      <c r="C28" s="38"/>
      <c r="D28" s="38"/>
      <c r="E28" s="38"/>
      <c r="F28" s="38"/>
      <c r="H28" s="163">
        <f t="shared" si="0"/>
        <v>0</v>
      </c>
      <c r="I28" s="24"/>
    </row>
    <row r="29" spans="1:9">
      <c r="A29" s="31" t="s">
        <v>206</v>
      </c>
      <c r="B29" s="31" t="s">
        <v>286</v>
      </c>
      <c r="C29" s="38"/>
      <c r="D29" s="38"/>
      <c r="E29" s="38"/>
      <c r="F29" s="38"/>
      <c r="H29" s="163">
        <f t="shared" si="0"/>
        <v>0</v>
      </c>
      <c r="I29" s="24"/>
    </row>
    <row r="30" spans="1:9">
      <c r="A30" s="31" t="s">
        <v>208</v>
      </c>
      <c r="B30" s="31" t="s">
        <v>287</v>
      </c>
      <c r="C30" s="38"/>
      <c r="D30" s="38"/>
      <c r="E30" s="38"/>
      <c r="F30" s="38"/>
      <c r="H30" s="163">
        <f t="shared" si="0"/>
        <v>0</v>
      </c>
      <c r="I30" s="24"/>
    </row>
    <row r="31" spans="1:9">
      <c r="A31" s="31" t="s">
        <v>207</v>
      </c>
      <c r="B31" s="31" t="s">
        <v>288</v>
      </c>
      <c r="C31" s="38"/>
      <c r="D31" s="38"/>
      <c r="E31" s="38"/>
      <c r="F31" s="38"/>
      <c r="H31" s="163">
        <f t="shared" si="0"/>
        <v>0</v>
      </c>
      <c r="I31" s="24"/>
    </row>
    <row r="32" spans="1:9">
      <c r="A32" s="31" t="s">
        <v>209</v>
      </c>
      <c r="B32" s="31" t="s">
        <v>210</v>
      </c>
      <c r="C32" s="38"/>
      <c r="D32" s="38"/>
      <c r="E32" s="38"/>
      <c r="F32" s="38"/>
      <c r="H32" s="163">
        <f t="shared" si="0"/>
        <v>0</v>
      </c>
      <c r="I32" s="24"/>
    </row>
    <row r="33" spans="1:9" ht="12">
      <c r="A33" s="31" t="s">
        <v>213</v>
      </c>
      <c r="B33" s="31" t="s">
        <v>214</v>
      </c>
      <c r="C33" s="229">
        <v>20000</v>
      </c>
      <c r="D33" s="229">
        <v>30000</v>
      </c>
      <c r="E33" s="38"/>
      <c r="F33" s="38"/>
      <c r="G33" s="16"/>
      <c r="H33" s="163">
        <f t="shared" si="0"/>
        <v>50000</v>
      </c>
      <c r="I33" s="25"/>
    </row>
    <row r="34" spans="1:9">
      <c r="A34" s="31" t="s">
        <v>212</v>
      </c>
      <c r="B34" s="31" t="s">
        <v>289</v>
      </c>
      <c r="C34" s="38"/>
      <c r="D34" s="38"/>
      <c r="E34" s="38"/>
      <c r="F34" s="38"/>
      <c r="H34" s="163">
        <f t="shared" si="0"/>
        <v>0</v>
      </c>
      <c r="I34" s="24"/>
    </row>
    <row r="35" spans="1:9" ht="12">
      <c r="A35" s="31" t="s">
        <v>211</v>
      </c>
      <c r="B35" s="31" t="s">
        <v>290</v>
      </c>
      <c r="C35" s="38"/>
      <c r="D35" s="38"/>
      <c r="E35" s="229">
        <v>13500</v>
      </c>
      <c r="F35" s="38"/>
      <c r="H35" s="163">
        <f t="shared" si="0"/>
        <v>13500</v>
      </c>
      <c r="I35" s="24"/>
    </row>
    <row r="36" spans="1:9">
      <c r="A36" s="31" t="s">
        <v>215</v>
      </c>
      <c r="B36" s="31" t="s">
        <v>291</v>
      </c>
      <c r="C36" s="38"/>
      <c r="D36" s="38"/>
      <c r="E36" s="38"/>
      <c r="F36" s="38"/>
      <c r="H36" s="163">
        <f t="shared" si="0"/>
        <v>0</v>
      </c>
      <c r="I36" s="24"/>
    </row>
    <row r="37" spans="1:9">
      <c r="A37" s="31" t="s">
        <v>216</v>
      </c>
      <c r="B37" s="31" t="s">
        <v>292</v>
      </c>
      <c r="C37" s="39"/>
      <c r="D37" s="39"/>
      <c r="E37" s="39"/>
      <c r="F37" s="39"/>
      <c r="H37" s="87">
        <f t="shared" si="0"/>
        <v>0</v>
      </c>
      <c r="I37" s="24"/>
    </row>
    <row r="38" spans="1:9">
      <c r="B38" s="31" t="s">
        <v>293</v>
      </c>
      <c r="C38" s="38">
        <f>SUM(C13:C37)</f>
        <v>140000</v>
      </c>
      <c r="D38" s="38">
        <f t="shared" ref="D38:F38" si="1">SUM(D13:D37)</f>
        <v>100000</v>
      </c>
      <c r="E38" s="38">
        <f t="shared" si="1"/>
        <v>13500</v>
      </c>
      <c r="F38" s="38">
        <f t="shared" si="1"/>
        <v>60000</v>
      </c>
      <c r="H38" s="40">
        <f>SUM(H13:H37)</f>
        <v>313500</v>
      </c>
      <c r="I38" s="24"/>
    </row>
    <row r="39" spans="1:9">
      <c r="C39" s="38"/>
      <c r="D39" s="38"/>
      <c r="E39" s="38"/>
      <c r="F39" s="38"/>
      <c r="H39" s="40"/>
      <c r="I39" s="24"/>
    </row>
    <row r="40" spans="1:9">
      <c r="A40" s="31" t="s">
        <v>294</v>
      </c>
      <c r="C40" s="38"/>
      <c r="D40" s="38"/>
      <c r="E40" s="38"/>
      <c r="F40" s="38"/>
      <c r="H40" s="40"/>
      <c r="I40" s="24"/>
    </row>
    <row r="41" spans="1:9">
      <c r="A41" s="31" t="s">
        <v>217</v>
      </c>
      <c r="B41" s="31" t="s">
        <v>295</v>
      </c>
      <c r="C41" s="38"/>
      <c r="D41" s="38"/>
      <c r="E41" s="38"/>
      <c r="F41" s="38"/>
      <c r="H41" s="163">
        <f t="shared" ref="H41:H48" si="2">SUM(C41:F41)</f>
        <v>0</v>
      </c>
      <c r="I41" s="24"/>
    </row>
    <row r="42" spans="1:9">
      <c r="A42" s="31" t="s">
        <v>218</v>
      </c>
      <c r="B42" s="31" t="s">
        <v>219</v>
      </c>
      <c r="C42" s="38"/>
      <c r="D42" s="38"/>
      <c r="E42" s="38"/>
      <c r="F42" s="38"/>
      <c r="H42" s="163">
        <f t="shared" si="2"/>
        <v>0</v>
      </c>
    </row>
    <row r="43" spans="1:9">
      <c r="A43" s="31" t="s">
        <v>220</v>
      </c>
      <c r="B43" s="31" t="s">
        <v>221</v>
      </c>
      <c r="C43" s="38"/>
      <c r="D43" s="38"/>
      <c r="E43" s="38"/>
      <c r="F43" s="38"/>
      <c r="H43" s="163">
        <f t="shared" si="2"/>
        <v>0</v>
      </c>
    </row>
    <row r="44" spans="1:9">
      <c r="A44" s="31" t="s">
        <v>222</v>
      </c>
      <c r="B44" s="31" t="s">
        <v>296</v>
      </c>
      <c r="C44" s="38"/>
      <c r="D44" s="38"/>
      <c r="E44" s="38"/>
      <c r="F44" s="38"/>
      <c r="H44" s="163">
        <f t="shared" si="2"/>
        <v>0</v>
      </c>
    </row>
    <row r="45" spans="1:9">
      <c r="A45" s="31" t="s">
        <v>223</v>
      </c>
      <c r="B45" s="31" t="s">
        <v>224</v>
      </c>
      <c r="C45" s="38"/>
      <c r="D45" s="38"/>
      <c r="E45" s="38"/>
      <c r="F45" s="38"/>
      <c r="H45" s="163">
        <f t="shared" si="2"/>
        <v>0</v>
      </c>
    </row>
    <row r="46" spans="1:9">
      <c r="A46" s="31" t="s">
        <v>225</v>
      </c>
      <c r="B46" s="31" t="s">
        <v>226</v>
      </c>
      <c r="C46" s="38"/>
      <c r="D46" s="38"/>
      <c r="E46" s="38"/>
      <c r="F46" s="38"/>
      <c r="H46" s="163">
        <f t="shared" si="2"/>
        <v>0</v>
      </c>
    </row>
    <row r="47" spans="1:9">
      <c r="A47" s="31" t="s">
        <v>227</v>
      </c>
      <c r="B47" s="31" t="s">
        <v>297</v>
      </c>
      <c r="C47" s="38"/>
      <c r="D47" s="38"/>
      <c r="E47" s="38"/>
      <c r="F47" s="38"/>
      <c r="H47" s="163">
        <f t="shared" si="2"/>
        <v>0</v>
      </c>
    </row>
    <row r="48" spans="1:9">
      <c r="A48" s="31" t="s">
        <v>228</v>
      </c>
      <c r="B48" s="31" t="s">
        <v>298</v>
      </c>
      <c r="C48" s="39"/>
      <c r="D48" s="39"/>
      <c r="E48" s="39"/>
      <c r="F48" s="39"/>
      <c r="H48" s="87">
        <f t="shared" si="2"/>
        <v>0</v>
      </c>
    </row>
    <row r="49" spans="1:8">
      <c r="B49" s="31" t="s">
        <v>299</v>
      </c>
      <c r="C49" s="38">
        <f>SUM(C41:C48)</f>
        <v>0</v>
      </c>
      <c r="D49" s="38">
        <f t="shared" ref="D49:F49" si="3">SUM(D41:D48)</f>
        <v>0</v>
      </c>
      <c r="E49" s="38">
        <f t="shared" si="3"/>
        <v>0</v>
      </c>
      <c r="F49" s="38">
        <f t="shared" si="3"/>
        <v>0</v>
      </c>
      <c r="H49" s="40">
        <f>SUM(H41:H48)</f>
        <v>0</v>
      </c>
    </row>
    <row r="50" spans="1:8">
      <c r="C50" s="38"/>
      <c r="D50" s="38"/>
      <c r="E50" s="38"/>
      <c r="F50" s="38"/>
      <c r="H50" s="40"/>
    </row>
    <row r="51" spans="1:8">
      <c r="A51" s="31" t="s">
        <v>300</v>
      </c>
      <c r="C51" s="38"/>
      <c r="D51" s="38"/>
      <c r="E51" s="38"/>
      <c r="F51" s="38"/>
      <c r="H51" s="40"/>
    </row>
    <row r="52" spans="1:8">
      <c r="A52" s="31" t="s">
        <v>301</v>
      </c>
      <c r="C52" s="38"/>
      <c r="D52" s="38"/>
      <c r="E52" s="38"/>
      <c r="F52" s="38"/>
      <c r="H52" s="40"/>
    </row>
    <row r="53" spans="1:8">
      <c r="A53" s="31" t="s">
        <v>229</v>
      </c>
      <c r="B53" s="31" t="s">
        <v>389</v>
      </c>
      <c r="C53" s="38"/>
      <c r="D53" s="38"/>
      <c r="E53" s="38"/>
      <c r="F53" s="38"/>
      <c r="H53" s="163">
        <f t="shared" ref="H53:H65" si="4">SUM(C53:F53)</f>
        <v>0</v>
      </c>
    </row>
    <row r="54" spans="1:8">
      <c r="A54" s="31" t="s">
        <v>230</v>
      </c>
      <c r="B54" s="31" t="s">
        <v>390</v>
      </c>
      <c r="C54" s="38"/>
      <c r="D54" s="38"/>
      <c r="E54" s="38"/>
      <c r="F54" s="38"/>
      <c r="H54" s="163">
        <f t="shared" si="4"/>
        <v>0</v>
      </c>
    </row>
    <row r="55" spans="1:8">
      <c r="A55" s="31" t="s">
        <v>231</v>
      </c>
      <c r="B55" s="31" t="s">
        <v>391</v>
      </c>
      <c r="C55" s="38"/>
      <c r="D55" s="38"/>
      <c r="E55" s="38"/>
      <c r="F55" s="38"/>
      <c r="H55" s="163">
        <f t="shared" si="4"/>
        <v>0</v>
      </c>
    </row>
    <row r="56" spans="1:8">
      <c r="A56" s="31" t="s">
        <v>232</v>
      </c>
      <c r="B56" s="31" t="s">
        <v>302</v>
      </c>
      <c r="C56" s="38"/>
      <c r="D56" s="38"/>
      <c r="E56" s="38"/>
      <c r="F56" s="38"/>
      <c r="H56" s="163">
        <f t="shared" si="4"/>
        <v>0</v>
      </c>
    </row>
    <row r="57" spans="1:8">
      <c r="A57" s="31" t="s">
        <v>233</v>
      </c>
      <c r="B57" s="31" t="s">
        <v>303</v>
      </c>
      <c r="C57" s="38"/>
      <c r="D57" s="38"/>
      <c r="E57" s="38"/>
      <c r="F57" s="38"/>
      <c r="H57" s="163">
        <f t="shared" si="4"/>
        <v>0</v>
      </c>
    </row>
    <row r="58" spans="1:8">
      <c r="A58" s="31" t="s">
        <v>0</v>
      </c>
      <c r="B58" s="31" t="s">
        <v>304</v>
      </c>
      <c r="C58" s="38"/>
      <c r="D58" s="38"/>
      <c r="E58" s="38"/>
      <c r="F58" s="38"/>
      <c r="H58" s="163">
        <f t="shared" si="4"/>
        <v>0</v>
      </c>
    </row>
    <row r="59" spans="1:8">
      <c r="A59" s="31" t="s">
        <v>1</v>
      </c>
      <c r="B59" s="31" t="s">
        <v>305</v>
      </c>
      <c r="C59" s="38"/>
      <c r="D59" s="38"/>
      <c r="E59" s="38"/>
      <c r="F59" s="38"/>
      <c r="H59" s="163">
        <f t="shared" si="4"/>
        <v>0</v>
      </c>
    </row>
    <row r="60" spans="1:8">
      <c r="A60" s="31" t="s">
        <v>3</v>
      </c>
      <c r="B60" s="31" t="s">
        <v>2</v>
      </c>
      <c r="C60" s="38"/>
      <c r="D60" s="38"/>
      <c r="E60" s="38"/>
      <c r="F60" s="38"/>
      <c r="H60" s="163">
        <f t="shared" si="4"/>
        <v>0</v>
      </c>
    </row>
    <row r="61" spans="1:8">
      <c r="A61" s="31" t="s">
        <v>4</v>
      </c>
      <c r="B61" s="31" t="s">
        <v>5</v>
      </c>
      <c r="C61" s="38"/>
      <c r="D61" s="38"/>
      <c r="E61" s="38"/>
      <c r="F61" s="38"/>
      <c r="H61" s="163">
        <f t="shared" si="4"/>
        <v>0</v>
      </c>
    </row>
    <row r="62" spans="1:8">
      <c r="A62" s="31" t="s">
        <v>6</v>
      </c>
      <c r="B62" s="31" t="s">
        <v>7</v>
      </c>
      <c r="C62" s="38"/>
      <c r="D62" s="38"/>
      <c r="E62" s="38"/>
      <c r="F62" s="38"/>
      <c r="H62" s="163">
        <f t="shared" si="4"/>
        <v>0</v>
      </c>
    </row>
    <row r="63" spans="1:8">
      <c r="A63" s="31" t="s">
        <v>8</v>
      </c>
      <c r="B63" s="31" t="s">
        <v>9</v>
      </c>
      <c r="C63" s="38">
        <v>16000</v>
      </c>
      <c r="D63" s="38"/>
      <c r="E63" s="38"/>
      <c r="F63" s="38"/>
      <c r="H63" s="163">
        <f t="shared" si="4"/>
        <v>16000</v>
      </c>
    </row>
    <row r="64" spans="1:8">
      <c r="A64" s="31" t="s">
        <v>11</v>
      </c>
      <c r="B64" s="31" t="s">
        <v>307</v>
      </c>
      <c r="C64" s="38"/>
      <c r="D64" s="38"/>
      <c r="E64" s="38"/>
      <c r="F64" s="38"/>
      <c r="H64" s="163">
        <f t="shared" si="4"/>
        <v>0</v>
      </c>
    </row>
    <row r="65" spans="1:8">
      <c r="A65" s="31" t="s">
        <v>10</v>
      </c>
      <c r="B65" s="31" t="s">
        <v>306</v>
      </c>
      <c r="C65" s="39"/>
      <c r="D65" s="39"/>
      <c r="E65" s="39"/>
      <c r="F65" s="39"/>
      <c r="H65" s="87">
        <f t="shared" si="4"/>
        <v>0</v>
      </c>
    </row>
    <row r="66" spans="1:8">
      <c r="B66" s="31" t="s">
        <v>308</v>
      </c>
      <c r="C66" s="38">
        <f>SUM(C53:C65)</f>
        <v>16000</v>
      </c>
      <c r="D66" s="38">
        <f t="shared" ref="D66:F66" si="5">SUM(D53:D65)</f>
        <v>0</v>
      </c>
      <c r="E66" s="38">
        <f t="shared" si="5"/>
        <v>0</v>
      </c>
      <c r="F66" s="38">
        <f t="shared" si="5"/>
        <v>0</v>
      </c>
      <c r="H66" s="40">
        <f>SUM(H53:H65)</f>
        <v>16000</v>
      </c>
    </row>
    <row r="67" spans="1:8">
      <c r="C67" s="38"/>
      <c r="D67" s="38"/>
      <c r="E67" s="38"/>
      <c r="F67" s="38"/>
      <c r="H67" s="40"/>
    </row>
    <row r="68" spans="1:8" s="4" customFormat="1">
      <c r="A68" s="35"/>
      <c r="B68" s="35" t="s">
        <v>309</v>
      </c>
      <c r="C68" s="40">
        <f>SUM(C38+C49+C66)</f>
        <v>156000</v>
      </c>
      <c r="D68" s="40">
        <f t="shared" ref="D68:F68" si="6">SUM(D38+D49+D66)</f>
        <v>100000</v>
      </c>
      <c r="E68" s="40">
        <f t="shared" si="6"/>
        <v>13500</v>
      </c>
      <c r="F68" s="40">
        <f t="shared" si="6"/>
        <v>60000</v>
      </c>
      <c r="H68" s="40">
        <f>SUM(H38+H49+H66)</f>
        <v>329500</v>
      </c>
    </row>
    <row r="69" spans="1:8">
      <c r="C69" s="38"/>
      <c r="D69" s="38"/>
      <c r="E69" s="38"/>
      <c r="F69" s="38"/>
      <c r="H69" s="40"/>
    </row>
    <row r="70" spans="1:8">
      <c r="A70" s="31" t="s">
        <v>310</v>
      </c>
      <c r="C70" s="38"/>
      <c r="D70" s="38"/>
      <c r="E70" s="38"/>
      <c r="F70" s="38"/>
      <c r="H70" s="40"/>
    </row>
    <row r="71" spans="1:8">
      <c r="A71" s="31" t="s">
        <v>311</v>
      </c>
      <c r="C71" s="38"/>
      <c r="D71" s="38"/>
      <c r="E71" s="38"/>
      <c r="F71" s="38"/>
      <c r="H71" s="40"/>
    </row>
    <row r="72" spans="1:8">
      <c r="A72" s="31" t="s">
        <v>19</v>
      </c>
      <c r="B72" s="31" t="s">
        <v>320</v>
      </c>
      <c r="C72" s="38">
        <v>62220</v>
      </c>
      <c r="D72" s="38"/>
      <c r="E72" s="38"/>
      <c r="F72" s="38"/>
      <c r="H72" s="163">
        <f t="shared" ref="H72:H79" si="7">SUM(C72:F72)</f>
        <v>62220</v>
      </c>
    </row>
    <row r="73" spans="1:8">
      <c r="A73" s="31" t="s">
        <v>12</v>
      </c>
      <c r="B73" s="31" t="s">
        <v>312</v>
      </c>
      <c r="C73" s="38"/>
      <c r="D73" s="38"/>
      <c r="E73" s="38"/>
      <c r="F73" s="38"/>
      <c r="H73" s="163">
        <f t="shared" si="7"/>
        <v>0</v>
      </c>
    </row>
    <row r="74" spans="1:8">
      <c r="A74" s="31" t="s">
        <v>13</v>
      </c>
      <c r="B74" s="31" t="s">
        <v>313</v>
      </c>
      <c r="C74" s="38"/>
      <c r="D74" s="38"/>
      <c r="E74" s="38"/>
      <c r="F74" s="38"/>
      <c r="H74" s="163">
        <f t="shared" si="7"/>
        <v>0</v>
      </c>
    </row>
    <row r="75" spans="1:8">
      <c r="A75" s="31" t="s">
        <v>14</v>
      </c>
      <c r="B75" s="31" t="s">
        <v>314</v>
      </c>
      <c r="C75" s="38"/>
      <c r="D75" s="38"/>
      <c r="E75" s="38"/>
      <c r="F75" s="38"/>
      <c r="H75" s="163">
        <f t="shared" si="7"/>
        <v>0</v>
      </c>
    </row>
    <row r="76" spans="1:8">
      <c r="A76" s="31" t="s">
        <v>15</v>
      </c>
      <c r="B76" s="31" t="s">
        <v>315</v>
      </c>
      <c r="C76" s="38"/>
      <c r="D76" s="38">
        <v>45000</v>
      </c>
      <c r="E76" s="38"/>
      <c r="F76" s="38"/>
      <c r="G76" s="10"/>
      <c r="H76" s="163">
        <f t="shared" si="7"/>
        <v>45000</v>
      </c>
    </row>
    <row r="77" spans="1:8">
      <c r="A77" s="31" t="s">
        <v>16</v>
      </c>
      <c r="B77" s="31" t="s">
        <v>316</v>
      </c>
      <c r="C77" s="38"/>
      <c r="D77" s="38"/>
      <c r="E77" s="38">
        <v>43161</v>
      </c>
      <c r="F77" s="38">
        <v>40800</v>
      </c>
      <c r="G77" s="10"/>
      <c r="H77" s="163">
        <f t="shared" si="7"/>
        <v>83961</v>
      </c>
    </row>
    <row r="78" spans="1:8">
      <c r="A78" s="31" t="s">
        <v>17</v>
      </c>
      <c r="B78" s="31" t="s">
        <v>317</v>
      </c>
      <c r="C78" s="38"/>
      <c r="D78" s="38"/>
      <c r="E78" s="38"/>
      <c r="F78" s="38"/>
      <c r="H78" s="163">
        <f t="shared" si="7"/>
        <v>0</v>
      </c>
    </row>
    <row r="79" spans="1:8" ht="14.25" customHeight="1">
      <c r="A79" s="31" t="s">
        <v>18</v>
      </c>
      <c r="B79" s="31" t="s">
        <v>319</v>
      </c>
      <c r="C79" s="39"/>
      <c r="D79" s="39"/>
      <c r="E79" s="39"/>
      <c r="F79" s="39"/>
      <c r="H79" s="87">
        <f t="shared" si="7"/>
        <v>0</v>
      </c>
    </row>
    <row r="80" spans="1:8">
      <c r="B80" s="31" t="s">
        <v>24</v>
      </c>
      <c r="C80" s="38">
        <f>SUM(C72:C79)</f>
        <v>62220</v>
      </c>
      <c r="D80" s="38">
        <f t="shared" ref="D80:F80" si="8">SUM(D72:D79)</f>
        <v>45000</v>
      </c>
      <c r="E80" s="38">
        <f t="shared" si="8"/>
        <v>43161</v>
      </c>
      <c r="F80" s="38">
        <f t="shared" si="8"/>
        <v>40800</v>
      </c>
      <c r="H80" s="40">
        <f>SUM(H72:H79)</f>
        <v>191181</v>
      </c>
    </row>
    <row r="81" spans="1:8">
      <c r="C81" s="38"/>
      <c r="D81" s="38"/>
      <c r="E81" s="38"/>
      <c r="F81" s="38"/>
      <c r="H81" s="40"/>
    </row>
    <row r="82" spans="1:8">
      <c r="C82" s="38"/>
      <c r="D82" s="38"/>
      <c r="E82" s="38"/>
      <c r="F82" s="38"/>
      <c r="H82" s="40"/>
    </row>
    <row r="83" spans="1:8">
      <c r="A83" s="36" t="s">
        <v>322</v>
      </c>
      <c r="C83" s="38"/>
      <c r="D83" s="38"/>
      <c r="E83" s="38"/>
      <c r="F83" s="38"/>
      <c r="H83" s="40"/>
    </row>
    <row r="84" spans="1:8">
      <c r="A84" s="31" t="s">
        <v>20</v>
      </c>
      <c r="B84" s="31" t="s">
        <v>321</v>
      </c>
      <c r="C84" s="38"/>
      <c r="D84" s="38"/>
      <c r="E84" s="38"/>
      <c r="F84" s="38"/>
      <c r="H84" s="163">
        <f t="shared" ref="H84:H87" si="9">SUM(C84:F84)</f>
        <v>0</v>
      </c>
    </row>
    <row r="85" spans="1:8">
      <c r="A85" s="31" t="s">
        <v>21</v>
      </c>
      <c r="B85" s="31" t="s">
        <v>322</v>
      </c>
      <c r="C85" s="38"/>
      <c r="D85" s="38"/>
      <c r="E85" s="38"/>
      <c r="F85" s="38"/>
      <c r="H85" s="163">
        <f t="shared" si="9"/>
        <v>0</v>
      </c>
    </row>
    <row r="86" spans="1:8">
      <c r="A86" s="31" t="s">
        <v>406</v>
      </c>
      <c r="B86" s="31" t="s">
        <v>407</v>
      </c>
      <c r="C86" s="38">
        <v>1200</v>
      </c>
      <c r="D86" s="38">
        <v>1200</v>
      </c>
      <c r="E86" s="38">
        <v>1200</v>
      </c>
      <c r="F86" s="38">
        <v>1200</v>
      </c>
      <c r="H86" s="163">
        <f t="shared" si="9"/>
        <v>4800</v>
      </c>
    </row>
    <row r="87" spans="1:8">
      <c r="A87" s="31" t="s">
        <v>22</v>
      </c>
      <c r="B87" s="31" t="s">
        <v>23</v>
      </c>
      <c r="C87" s="39"/>
      <c r="D87" s="39"/>
      <c r="E87" s="39"/>
      <c r="F87" s="39"/>
      <c r="H87" s="87">
        <f t="shared" si="9"/>
        <v>0</v>
      </c>
    </row>
    <row r="88" spans="1:8">
      <c r="B88" s="31" t="s">
        <v>323</v>
      </c>
      <c r="C88" s="38">
        <f>SUM(C84:C87)</f>
        <v>1200</v>
      </c>
      <c r="D88" s="38">
        <f t="shared" ref="D88:F88" si="10">SUM(D84:D87)</f>
        <v>1200</v>
      </c>
      <c r="E88" s="38">
        <f t="shared" si="10"/>
        <v>1200</v>
      </c>
      <c r="F88" s="38">
        <f t="shared" si="10"/>
        <v>1200</v>
      </c>
      <c r="H88" s="40">
        <f>SUM(H84:H87)</f>
        <v>4800</v>
      </c>
    </row>
    <row r="89" spans="1:8">
      <c r="C89" s="38"/>
      <c r="D89" s="38"/>
      <c r="E89" s="38"/>
      <c r="F89" s="38"/>
      <c r="H89" s="40"/>
    </row>
    <row r="90" spans="1:8">
      <c r="B90" s="31" t="s">
        <v>324</v>
      </c>
      <c r="C90" s="38">
        <f>SUM(C80+C88)</f>
        <v>63420</v>
      </c>
      <c r="D90" s="38">
        <f t="shared" ref="D90:F90" si="11">SUM(D80+D88)</f>
        <v>46200</v>
      </c>
      <c r="E90" s="38">
        <f t="shared" si="11"/>
        <v>44361</v>
      </c>
      <c r="F90" s="38">
        <f t="shared" si="11"/>
        <v>42000</v>
      </c>
      <c r="H90" s="40">
        <f>SUM(H80+H88)</f>
        <v>195981</v>
      </c>
    </row>
    <row r="91" spans="1:8">
      <c r="C91" s="38"/>
      <c r="D91" s="38"/>
      <c r="E91" s="38"/>
      <c r="F91" s="38"/>
      <c r="H91" s="40"/>
    </row>
    <row r="92" spans="1:8">
      <c r="A92" s="31" t="s">
        <v>325</v>
      </c>
      <c r="C92" s="38"/>
      <c r="D92" s="38"/>
      <c r="E92" s="38"/>
      <c r="F92" s="38"/>
      <c r="H92" s="40"/>
    </row>
    <row r="93" spans="1:8">
      <c r="A93" s="31" t="s">
        <v>25</v>
      </c>
      <c r="B93" s="31" t="s">
        <v>33</v>
      </c>
      <c r="C93" s="38">
        <f>+C$7*139.64*2*1.05*12</f>
        <v>3518.9279999999999</v>
      </c>
      <c r="D93" s="38">
        <f t="shared" ref="D93:F93" si="12">+D$7*139.64*2*1.05*12</f>
        <v>3518.9279999999999</v>
      </c>
      <c r="E93" s="38">
        <f t="shared" si="12"/>
        <v>3518.9279999999999</v>
      </c>
      <c r="F93" s="38">
        <f t="shared" si="12"/>
        <v>3518.9279999999999</v>
      </c>
      <c r="H93" s="163">
        <f t="shared" ref="H93:H101" si="13">SUM(C93:F93)</f>
        <v>14075.712</v>
      </c>
    </row>
    <row r="94" spans="1:8">
      <c r="A94" s="31" t="s">
        <v>26</v>
      </c>
      <c r="B94" s="31" t="s">
        <v>34</v>
      </c>
      <c r="C94" s="38">
        <f>+C$7*8.74*2*1.02*12</f>
        <v>213.95519999999999</v>
      </c>
      <c r="D94" s="38">
        <f t="shared" ref="D94:F94" si="14">+D$7*8.74*2*1.02*12</f>
        <v>213.95519999999999</v>
      </c>
      <c r="E94" s="38">
        <f t="shared" si="14"/>
        <v>213.95519999999999</v>
      </c>
      <c r="F94" s="38">
        <f t="shared" si="14"/>
        <v>213.95519999999999</v>
      </c>
      <c r="H94" s="163">
        <f t="shared" si="13"/>
        <v>855.82079999999996</v>
      </c>
    </row>
    <row r="95" spans="1:8">
      <c r="A95" s="31" t="s">
        <v>28</v>
      </c>
      <c r="B95" s="31" t="s">
        <v>27</v>
      </c>
      <c r="C95" s="38">
        <f>(+C$88-C$84+C$80)*0.062</f>
        <v>3932.04</v>
      </c>
      <c r="D95" s="38">
        <f t="shared" ref="D95:F95" si="15">(+D$88-D$84+D$80)*0.062</f>
        <v>2864.4</v>
      </c>
      <c r="E95" s="38">
        <f t="shared" si="15"/>
        <v>2750.3820000000001</v>
      </c>
      <c r="F95" s="38">
        <f t="shared" si="15"/>
        <v>2604</v>
      </c>
      <c r="H95" s="163">
        <f t="shared" si="13"/>
        <v>12150.822</v>
      </c>
    </row>
    <row r="96" spans="1:8">
      <c r="A96" s="31" t="s">
        <v>30</v>
      </c>
      <c r="B96" s="31" t="s">
        <v>29</v>
      </c>
      <c r="C96" s="38">
        <f>(+C$88-C$84+C$80)*0.0145</f>
        <v>919.59</v>
      </c>
      <c r="D96" s="38">
        <f t="shared" ref="D96:F96" si="16">(+D$88-D$84+D$80)*0.0145</f>
        <v>669.9</v>
      </c>
      <c r="E96" s="38">
        <f t="shared" si="16"/>
        <v>643.23450000000003</v>
      </c>
      <c r="F96" s="38">
        <f t="shared" si="16"/>
        <v>609</v>
      </c>
      <c r="H96" s="163">
        <f t="shared" si="13"/>
        <v>2841.7245000000003</v>
      </c>
    </row>
    <row r="97" spans="1:8">
      <c r="A97" s="31" t="s">
        <v>31</v>
      </c>
      <c r="B97" s="31" t="s">
        <v>32</v>
      </c>
      <c r="C97" s="38">
        <f>(+C$88-C$84+C$80)*0.06</f>
        <v>3805.2</v>
      </c>
      <c r="D97" s="38">
        <f t="shared" ref="D97:F97" si="17">(+D$88-D$84+D$80)*0.06</f>
        <v>2772</v>
      </c>
      <c r="E97" s="38">
        <f t="shared" si="17"/>
        <v>2661.66</v>
      </c>
      <c r="F97" s="38">
        <f t="shared" si="17"/>
        <v>2520</v>
      </c>
      <c r="H97" s="163">
        <f t="shared" si="13"/>
        <v>11758.86</v>
      </c>
    </row>
    <row r="98" spans="1:8">
      <c r="A98" s="31" t="s">
        <v>36</v>
      </c>
      <c r="B98" s="31" t="s">
        <v>35</v>
      </c>
      <c r="C98" s="38">
        <f>(+C$88-C$84+C$80)*0.0056</f>
        <v>355.15199999999999</v>
      </c>
      <c r="D98" s="38">
        <f t="shared" ref="D98:F98" si="18">(+D$88-D$84+D$80)*0.0056</f>
        <v>258.71999999999997</v>
      </c>
      <c r="E98" s="38">
        <f t="shared" si="18"/>
        <v>248.42159999999998</v>
      </c>
      <c r="F98" s="38">
        <f t="shared" si="18"/>
        <v>235.2</v>
      </c>
      <c r="H98" s="163">
        <f t="shared" si="13"/>
        <v>1097.4936</v>
      </c>
    </row>
    <row r="99" spans="1:8">
      <c r="A99" s="31" t="s">
        <v>38</v>
      </c>
      <c r="B99" s="31" t="s">
        <v>37</v>
      </c>
      <c r="C99" s="38">
        <f>+C$7*7700*0.0201</f>
        <v>154.77000000000001</v>
      </c>
      <c r="D99" s="38">
        <f t="shared" ref="D99:F99" si="19">+D$7*7700*0.0201</f>
        <v>154.77000000000001</v>
      </c>
      <c r="E99" s="38">
        <f t="shared" si="19"/>
        <v>154.77000000000001</v>
      </c>
      <c r="F99" s="38">
        <f t="shared" si="19"/>
        <v>154.77000000000001</v>
      </c>
      <c r="H99" s="163">
        <f t="shared" si="13"/>
        <v>619.08000000000004</v>
      </c>
    </row>
    <row r="100" spans="1:8">
      <c r="A100" s="31" t="s">
        <v>83</v>
      </c>
      <c r="B100" s="31" t="s">
        <v>84</v>
      </c>
      <c r="C100" s="38"/>
      <c r="D100" s="38"/>
      <c r="E100" s="38"/>
      <c r="F100" s="38"/>
      <c r="H100" s="163">
        <f t="shared" si="13"/>
        <v>0</v>
      </c>
    </row>
    <row r="101" spans="1:8">
      <c r="A101" s="31" t="s">
        <v>39</v>
      </c>
      <c r="B101" s="31" t="s">
        <v>40</v>
      </c>
      <c r="C101" s="39">
        <f>(+C$88-C$84+C$80)*(0.0024+0.0036+0.0013)</f>
        <v>462.96600000000001</v>
      </c>
      <c r="D101" s="39">
        <f t="shared" ref="D101:F101" si="20">(+D$88-D$84+D$80)*(0.0024+0.0036+0.0013)</f>
        <v>337.26</v>
      </c>
      <c r="E101" s="39">
        <f t="shared" si="20"/>
        <v>323.83530000000002</v>
      </c>
      <c r="F101" s="39">
        <f t="shared" si="20"/>
        <v>306.60000000000002</v>
      </c>
      <c r="H101" s="87">
        <f t="shared" si="13"/>
        <v>1430.6613000000002</v>
      </c>
    </row>
    <row r="102" spans="1:8">
      <c r="B102" s="31" t="s">
        <v>234</v>
      </c>
      <c r="C102" s="38">
        <f>SUM(C93:C101)</f>
        <v>13362.601199999999</v>
      </c>
      <c r="D102" s="38">
        <f t="shared" ref="D102:H102" si="21">SUM(D93:D101)</f>
        <v>10789.933199999999</v>
      </c>
      <c r="E102" s="38">
        <f t="shared" si="21"/>
        <v>10515.186600000001</v>
      </c>
      <c r="F102" s="38">
        <f t="shared" si="21"/>
        <v>10162.453200000002</v>
      </c>
      <c r="H102" s="40">
        <f t="shared" si="21"/>
        <v>44830.174200000001</v>
      </c>
    </row>
    <row r="103" spans="1:8">
      <c r="C103" s="38"/>
      <c r="D103" s="38"/>
      <c r="E103" s="38"/>
      <c r="F103" s="38"/>
      <c r="H103" s="40"/>
    </row>
    <row r="104" spans="1:8" s="4" customFormat="1">
      <c r="A104" s="35"/>
      <c r="B104" s="35" t="s">
        <v>235</v>
      </c>
      <c r="C104" s="40">
        <f>SUM(C90+C102)</f>
        <v>76782.601200000005</v>
      </c>
      <c r="D104" s="40">
        <f t="shared" ref="D104:H104" si="22">SUM(D90+D102)</f>
        <v>56989.933199999999</v>
      </c>
      <c r="E104" s="40">
        <f t="shared" si="22"/>
        <v>54876.186600000001</v>
      </c>
      <c r="F104" s="40">
        <f t="shared" si="22"/>
        <v>52162.453200000004</v>
      </c>
      <c r="H104" s="40">
        <f t="shared" si="22"/>
        <v>240811.17420000001</v>
      </c>
    </row>
    <row r="105" spans="1:8">
      <c r="C105" s="38"/>
      <c r="D105" s="38"/>
      <c r="E105" s="38"/>
      <c r="F105" s="38"/>
      <c r="H105" s="40"/>
    </row>
    <row r="106" spans="1:8">
      <c r="A106" s="31" t="s">
        <v>236</v>
      </c>
      <c r="C106" s="38"/>
      <c r="D106" s="38"/>
      <c r="E106" s="38"/>
      <c r="F106" s="38"/>
      <c r="H106" s="40"/>
    </row>
    <row r="107" spans="1:8">
      <c r="A107" s="31" t="s">
        <v>237</v>
      </c>
      <c r="C107" s="38"/>
      <c r="D107" s="38"/>
      <c r="E107" s="38"/>
      <c r="F107" s="38"/>
      <c r="H107" s="40"/>
    </row>
    <row r="108" spans="1:8">
      <c r="A108" s="31" t="s">
        <v>51</v>
      </c>
      <c r="B108" s="31" t="s">
        <v>50</v>
      </c>
      <c r="C108" s="38"/>
      <c r="D108" s="38"/>
      <c r="E108" s="38"/>
      <c r="F108" s="38"/>
      <c r="H108" s="163">
        <f t="shared" ref="H108:H121" si="23">SUM(C108:F108)</f>
        <v>0</v>
      </c>
    </row>
    <row r="109" spans="1:8">
      <c r="A109" s="31" t="s">
        <v>41</v>
      </c>
      <c r="B109" s="31" t="s">
        <v>42</v>
      </c>
      <c r="C109" s="38"/>
      <c r="D109" s="38"/>
      <c r="E109" s="38"/>
      <c r="F109" s="38"/>
      <c r="H109" s="163">
        <f t="shared" si="23"/>
        <v>0</v>
      </c>
    </row>
    <row r="110" spans="1:8">
      <c r="A110" s="31" t="s">
        <v>43</v>
      </c>
      <c r="B110" s="31" t="s">
        <v>238</v>
      </c>
      <c r="C110" s="38">
        <v>1000</v>
      </c>
      <c r="D110" s="38">
        <v>1000</v>
      </c>
      <c r="E110" s="38">
        <v>1000</v>
      </c>
      <c r="F110" s="38">
        <v>1000</v>
      </c>
      <c r="H110" s="163">
        <f t="shared" si="23"/>
        <v>4000</v>
      </c>
    </row>
    <row r="111" spans="1:8">
      <c r="A111" s="31" t="s">
        <v>44</v>
      </c>
      <c r="B111" s="31" t="s">
        <v>45</v>
      </c>
      <c r="C111" s="38"/>
      <c r="D111" s="38"/>
      <c r="E111" s="38"/>
      <c r="F111" s="38"/>
      <c r="H111" s="163">
        <f t="shared" si="23"/>
        <v>0</v>
      </c>
    </row>
    <row r="112" spans="1:8">
      <c r="A112" s="31" t="s">
        <v>46</v>
      </c>
      <c r="B112" s="31" t="s">
        <v>239</v>
      </c>
      <c r="C112" s="38"/>
      <c r="D112" s="38"/>
      <c r="E112" s="38"/>
      <c r="F112" s="38"/>
      <c r="H112" s="163">
        <f t="shared" si="23"/>
        <v>0</v>
      </c>
    </row>
    <row r="113" spans="1:8">
      <c r="A113" s="31" t="s">
        <v>47</v>
      </c>
      <c r="B113" s="31" t="s">
        <v>240</v>
      </c>
      <c r="C113" s="38"/>
      <c r="D113" s="38"/>
      <c r="E113" s="38"/>
      <c r="F113" s="38"/>
      <c r="H113" s="163">
        <f t="shared" si="23"/>
        <v>0</v>
      </c>
    </row>
    <row r="114" spans="1:8">
      <c r="A114" s="31" t="s">
        <v>48</v>
      </c>
      <c r="B114" s="31" t="s">
        <v>49</v>
      </c>
      <c r="C114" s="38"/>
      <c r="D114" s="38"/>
      <c r="E114" s="38"/>
      <c r="F114" s="38"/>
      <c r="H114" s="163">
        <f t="shared" si="23"/>
        <v>0</v>
      </c>
    </row>
    <row r="115" spans="1:8">
      <c r="A115" s="31" t="s">
        <v>82</v>
      </c>
      <c r="B115" s="31" t="s">
        <v>166</v>
      </c>
      <c r="C115" s="38"/>
      <c r="D115" s="38"/>
      <c r="E115" s="38"/>
      <c r="F115" s="38"/>
      <c r="H115" s="163">
        <f t="shared" si="23"/>
        <v>0</v>
      </c>
    </row>
    <row r="116" spans="1:8">
      <c r="A116" s="31" t="s">
        <v>104</v>
      </c>
      <c r="B116" s="31" t="s">
        <v>103</v>
      </c>
      <c r="C116" s="38"/>
      <c r="D116" s="38"/>
      <c r="E116" s="38"/>
      <c r="F116" s="38"/>
      <c r="H116" s="163">
        <f t="shared" si="23"/>
        <v>0</v>
      </c>
    </row>
    <row r="117" spans="1:8">
      <c r="A117" s="31" t="s">
        <v>59</v>
      </c>
      <c r="B117" s="31" t="s">
        <v>318</v>
      </c>
      <c r="C117" s="38"/>
      <c r="D117" s="38"/>
      <c r="E117" s="38"/>
      <c r="F117" s="38"/>
      <c r="H117" s="163">
        <f t="shared" si="23"/>
        <v>0</v>
      </c>
    </row>
    <row r="118" spans="1:8">
      <c r="A118" s="31" t="s">
        <v>87</v>
      </c>
      <c r="B118" s="31" t="s">
        <v>88</v>
      </c>
      <c r="C118" s="230"/>
      <c r="D118" s="231">
        <v>5000</v>
      </c>
      <c r="E118" s="231">
        <v>67585</v>
      </c>
      <c r="F118" s="230"/>
      <c r="G118" s="230"/>
      <c r="H118" s="163">
        <f t="shared" si="23"/>
        <v>72585</v>
      </c>
    </row>
    <row r="119" spans="1:8">
      <c r="A119" s="31" t="s">
        <v>89</v>
      </c>
      <c r="B119" s="31" t="s">
        <v>90</v>
      </c>
      <c r="C119" s="230">
        <v>1000</v>
      </c>
      <c r="D119" s="230">
        <v>2500</v>
      </c>
      <c r="E119" s="230">
        <v>6500</v>
      </c>
      <c r="F119" s="230"/>
      <c r="G119" s="230"/>
      <c r="H119" s="163">
        <f t="shared" si="23"/>
        <v>10000</v>
      </c>
    </row>
    <row r="120" spans="1:8">
      <c r="A120" s="31" t="s">
        <v>413</v>
      </c>
      <c r="B120" s="31" t="s">
        <v>414</v>
      </c>
      <c r="C120" s="38"/>
      <c r="D120" s="38"/>
      <c r="E120" s="38"/>
      <c r="F120" s="38"/>
      <c r="H120" s="163">
        <f t="shared" si="23"/>
        <v>0</v>
      </c>
    </row>
    <row r="121" spans="1:8">
      <c r="A121" s="31" t="s">
        <v>52</v>
      </c>
      <c r="B121" s="31" t="s">
        <v>53</v>
      </c>
      <c r="C121" s="39"/>
      <c r="D121" s="39"/>
      <c r="E121" s="39">
        <v>6800</v>
      </c>
      <c r="F121" s="39"/>
      <c r="H121" s="87">
        <f t="shared" si="23"/>
        <v>6800</v>
      </c>
    </row>
    <row r="122" spans="1:8">
      <c r="B122" s="31" t="s">
        <v>241</v>
      </c>
      <c r="C122" s="38">
        <f>SUM(C108:C121)</f>
        <v>2000</v>
      </c>
      <c r="D122" s="38">
        <f t="shared" ref="D122:F122" si="24">SUM(D108:D121)</f>
        <v>8500</v>
      </c>
      <c r="E122" s="38">
        <f t="shared" si="24"/>
        <v>81885</v>
      </c>
      <c r="F122" s="38">
        <f t="shared" si="24"/>
        <v>1000</v>
      </c>
      <c r="H122" s="40">
        <f>SUM(H108:H121)</f>
        <v>93385</v>
      </c>
    </row>
    <row r="123" spans="1:8">
      <c r="C123" s="38"/>
      <c r="D123" s="38"/>
      <c r="E123" s="38"/>
      <c r="F123" s="38"/>
      <c r="H123" s="40"/>
    </row>
    <row r="124" spans="1:8">
      <c r="A124" s="31" t="s">
        <v>242</v>
      </c>
      <c r="C124" s="38"/>
      <c r="D124" s="38"/>
      <c r="E124" s="38"/>
      <c r="F124" s="38"/>
      <c r="H124" s="40"/>
    </row>
    <row r="125" spans="1:8">
      <c r="A125" s="31" t="s">
        <v>56</v>
      </c>
      <c r="B125" s="31" t="s">
        <v>245</v>
      </c>
      <c r="C125" s="38"/>
      <c r="D125" s="38"/>
      <c r="E125" s="38"/>
      <c r="F125" s="38"/>
      <c r="H125" s="163">
        <f t="shared" ref="H125:H132" si="25">SUM(C125:F125)</f>
        <v>0</v>
      </c>
    </row>
    <row r="126" spans="1:8">
      <c r="A126" s="31" t="s">
        <v>57</v>
      </c>
      <c r="B126" s="31" t="s">
        <v>246</v>
      </c>
      <c r="C126" s="38"/>
      <c r="D126" s="38"/>
      <c r="E126" s="38"/>
      <c r="F126" s="38"/>
      <c r="H126" s="163">
        <f t="shared" si="25"/>
        <v>0</v>
      </c>
    </row>
    <row r="127" spans="1:8">
      <c r="A127" s="31" t="s">
        <v>58</v>
      </c>
      <c r="B127" s="31" t="s">
        <v>247</v>
      </c>
      <c r="C127" s="38"/>
      <c r="D127" s="38"/>
      <c r="E127" s="38"/>
      <c r="F127" s="38"/>
      <c r="H127" s="163">
        <f t="shared" si="25"/>
        <v>0</v>
      </c>
    </row>
    <row r="128" spans="1:8">
      <c r="A128" s="31" t="s">
        <v>55</v>
      </c>
      <c r="B128" s="31" t="s">
        <v>244</v>
      </c>
      <c r="C128" s="38"/>
      <c r="D128" s="38"/>
      <c r="E128" s="38"/>
      <c r="F128" s="38"/>
      <c r="H128" s="163">
        <f t="shared" si="25"/>
        <v>0</v>
      </c>
    </row>
    <row r="129" spans="1:8" ht="10.5" customHeight="1">
      <c r="A129" s="31" t="s">
        <v>54</v>
      </c>
      <c r="B129" s="31" t="s">
        <v>243</v>
      </c>
      <c r="C129" s="38"/>
      <c r="D129" s="38"/>
      <c r="E129" s="38"/>
      <c r="F129" s="38"/>
      <c r="H129" s="163">
        <f t="shared" si="25"/>
        <v>0</v>
      </c>
    </row>
    <row r="130" spans="1:8">
      <c r="A130" s="31" t="s">
        <v>60</v>
      </c>
      <c r="B130" s="31" t="s">
        <v>61</v>
      </c>
      <c r="C130" s="38"/>
      <c r="D130" s="38"/>
      <c r="E130" s="38"/>
      <c r="F130" s="38"/>
      <c r="H130" s="163">
        <f t="shared" si="25"/>
        <v>0</v>
      </c>
    </row>
    <row r="131" spans="1:8">
      <c r="A131" s="31" t="s">
        <v>411</v>
      </c>
      <c r="B131" s="31" t="s">
        <v>412</v>
      </c>
      <c r="C131" s="38"/>
      <c r="D131" s="38"/>
      <c r="E131" s="38"/>
      <c r="F131" s="38"/>
      <c r="H131" s="163">
        <f t="shared" si="25"/>
        <v>0</v>
      </c>
    </row>
    <row r="132" spans="1:8">
      <c r="A132" s="31" t="s">
        <v>62</v>
      </c>
      <c r="B132" s="31" t="s">
        <v>248</v>
      </c>
      <c r="C132" s="39"/>
      <c r="D132" s="39"/>
      <c r="E132" s="39"/>
      <c r="F132" s="39"/>
      <c r="H132" s="87">
        <f t="shared" si="25"/>
        <v>0</v>
      </c>
    </row>
    <row r="133" spans="1:8">
      <c r="B133" s="31" t="s">
        <v>249</v>
      </c>
      <c r="C133" s="38">
        <f>SUM(C125:C132)</f>
        <v>0</v>
      </c>
      <c r="D133" s="38">
        <f t="shared" ref="D133:F133" si="26">SUM(D125:D132)</f>
        <v>0</v>
      </c>
      <c r="E133" s="38">
        <f t="shared" si="26"/>
        <v>0</v>
      </c>
      <c r="F133" s="38">
        <f t="shared" si="26"/>
        <v>0</v>
      </c>
      <c r="H133" s="40">
        <f>SUM(H125:H132)</f>
        <v>0</v>
      </c>
    </row>
    <row r="134" spans="1:8">
      <c r="C134" s="38"/>
      <c r="D134" s="38"/>
      <c r="E134" s="38"/>
      <c r="F134" s="38"/>
      <c r="H134" s="40"/>
    </row>
    <row r="135" spans="1:8">
      <c r="A135" s="31" t="s">
        <v>250</v>
      </c>
      <c r="C135" s="38"/>
      <c r="D135" s="38"/>
      <c r="E135" s="38"/>
      <c r="F135" s="38"/>
      <c r="H135" s="40"/>
    </row>
    <row r="136" spans="1:8">
      <c r="A136" s="31" t="s">
        <v>251</v>
      </c>
      <c r="C136" s="38"/>
      <c r="D136" s="38"/>
      <c r="E136" s="38"/>
      <c r="F136" s="38"/>
      <c r="H136" s="40"/>
    </row>
    <row r="137" spans="1:8">
      <c r="A137" s="31" t="s">
        <v>63</v>
      </c>
      <c r="B137" s="31" t="s">
        <v>252</v>
      </c>
      <c r="C137" s="38"/>
      <c r="D137" s="38"/>
      <c r="E137" s="38"/>
      <c r="F137" s="38"/>
      <c r="H137" s="163">
        <f t="shared" ref="H137:H140" si="27">SUM(C137:F137)</f>
        <v>0</v>
      </c>
    </row>
    <row r="138" spans="1:8">
      <c r="A138" s="31" t="s">
        <v>64</v>
      </c>
      <c r="B138" s="31" t="s">
        <v>253</v>
      </c>
      <c r="C138" s="38"/>
      <c r="D138" s="38"/>
      <c r="E138" s="38"/>
      <c r="F138" s="38"/>
      <c r="H138" s="163">
        <f t="shared" si="27"/>
        <v>0</v>
      </c>
    </row>
    <row r="139" spans="1:8">
      <c r="A139" s="31" t="s">
        <v>417</v>
      </c>
      <c r="B139" s="31" t="s">
        <v>418</v>
      </c>
      <c r="C139" s="38"/>
      <c r="D139" s="38"/>
      <c r="E139" s="38"/>
      <c r="F139" s="38"/>
      <c r="H139" s="163">
        <f t="shared" si="27"/>
        <v>0</v>
      </c>
    </row>
    <row r="140" spans="1:8">
      <c r="A140" s="31" t="s">
        <v>65</v>
      </c>
      <c r="B140" s="31" t="s">
        <v>254</v>
      </c>
      <c r="C140" s="39"/>
      <c r="D140" s="39"/>
      <c r="E140" s="39"/>
      <c r="F140" s="39"/>
      <c r="H140" s="87">
        <f t="shared" si="27"/>
        <v>0</v>
      </c>
    </row>
    <row r="141" spans="1:8">
      <c r="B141" s="31" t="s">
        <v>255</v>
      </c>
      <c r="C141" s="38">
        <f>SUM(C137:C140)</f>
        <v>0</v>
      </c>
      <c r="D141" s="38">
        <f t="shared" ref="D141:F141" si="28">SUM(D137:D140)</f>
        <v>0</v>
      </c>
      <c r="E141" s="38">
        <f t="shared" si="28"/>
        <v>0</v>
      </c>
      <c r="F141" s="38">
        <f t="shared" si="28"/>
        <v>0</v>
      </c>
      <c r="H141" s="40">
        <f>SUM(H137:H140)</f>
        <v>0</v>
      </c>
    </row>
    <row r="142" spans="1:8">
      <c r="C142" s="38"/>
      <c r="D142" s="38"/>
      <c r="E142" s="38"/>
      <c r="F142" s="38"/>
      <c r="H142" s="40"/>
    </row>
    <row r="143" spans="1:8">
      <c r="A143" s="31" t="s">
        <v>256</v>
      </c>
      <c r="C143" s="38"/>
      <c r="D143" s="38"/>
      <c r="E143" s="38"/>
      <c r="F143" s="38"/>
      <c r="H143" s="40"/>
    </row>
    <row r="144" spans="1:8">
      <c r="A144" s="31" t="s">
        <v>66</v>
      </c>
      <c r="B144" s="31" t="s">
        <v>257</v>
      </c>
      <c r="C144" s="38"/>
      <c r="D144" s="38"/>
      <c r="E144" s="38"/>
      <c r="F144" s="38"/>
      <c r="H144" s="163">
        <f t="shared" ref="H144:H149" si="29">SUM(C144:F144)</f>
        <v>0</v>
      </c>
    </row>
    <row r="145" spans="1:8">
      <c r="A145" s="31" t="s">
        <v>67</v>
      </c>
      <c r="B145" s="31" t="s">
        <v>258</v>
      </c>
      <c r="C145" s="38"/>
      <c r="D145" s="38"/>
      <c r="E145" s="38"/>
      <c r="F145" s="38"/>
      <c r="H145" s="163">
        <f t="shared" si="29"/>
        <v>0</v>
      </c>
    </row>
    <row r="146" spans="1:8">
      <c r="A146" s="31" t="s">
        <v>68</v>
      </c>
      <c r="B146" s="31" t="s">
        <v>259</v>
      </c>
      <c r="C146" s="38">
        <f>60*12</f>
        <v>720</v>
      </c>
      <c r="D146" s="38">
        <f t="shared" ref="D146:F146" si="30">60*12</f>
        <v>720</v>
      </c>
      <c r="E146" s="38">
        <f t="shared" si="30"/>
        <v>720</v>
      </c>
      <c r="F146" s="38">
        <f t="shared" si="30"/>
        <v>720</v>
      </c>
      <c r="H146" s="163">
        <f t="shared" si="29"/>
        <v>2880</v>
      </c>
    </row>
    <row r="147" spans="1:8">
      <c r="A147" s="31" t="s">
        <v>69</v>
      </c>
      <c r="B147" s="31" t="s">
        <v>260</v>
      </c>
      <c r="C147" s="38"/>
      <c r="D147" s="38"/>
      <c r="E147" s="38"/>
      <c r="F147" s="38"/>
      <c r="H147" s="163">
        <f t="shared" si="29"/>
        <v>0</v>
      </c>
    </row>
    <row r="148" spans="1:8" ht="12" customHeight="1">
      <c r="A148" s="31" t="s">
        <v>70</v>
      </c>
      <c r="B148" s="31" t="s">
        <v>261</v>
      </c>
      <c r="C148" s="231">
        <v>500</v>
      </c>
      <c r="D148" s="231">
        <v>500</v>
      </c>
      <c r="E148" s="231">
        <v>3834</v>
      </c>
      <c r="F148" s="38"/>
      <c r="H148" s="163">
        <f t="shared" si="29"/>
        <v>4834</v>
      </c>
    </row>
    <row r="149" spans="1:8">
      <c r="A149" s="31" t="s">
        <v>425</v>
      </c>
      <c r="B149" s="31" t="s">
        <v>427</v>
      </c>
      <c r="C149" s="39"/>
      <c r="D149" s="39"/>
      <c r="E149" s="39"/>
      <c r="F149" s="39"/>
      <c r="H149" s="87">
        <f t="shared" si="29"/>
        <v>0</v>
      </c>
    </row>
    <row r="150" spans="1:8">
      <c r="B150" s="31" t="s">
        <v>262</v>
      </c>
      <c r="C150" s="38">
        <f>SUM(C144:C149)</f>
        <v>1220</v>
      </c>
      <c r="D150" s="38">
        <f t="shared" ref="D150:F150" si="31">SUM(D144:D149)</f>
        <v>1220</v>
      </c>
      <c r="E150" s="38">
        <f t="shared" si="31"/>
        <v>4554</v>
      </c>
      <c r="F150" s="38">
        <f t="shared" si="31"/>
        <v>720</v>
      </c>
      <c r="H150" s="40">
        <f>SUM(H144:H149)</f>
        <v>7714</v>
      </c>
    </row>
    <row r="151" spans="1:8">
      <c r="C151" s="38"/>
      <c r="D151" s="38"/>
      <c r="E151" s="38"/>
      <c r="F151" s="38"/>
      <c r="H151" s="40"/>
    </row>
    <row r="152" spans="1:8">
      <c r="A152" s="31" t="s">
        <v>263</v>
      </c>
      <c r="C152" s="38"/>
      <c r="D152" s="38"/>
      <c r="E152" s="38"/>
      <c r="F152" s="38"/>
      <c r="H152" s="40"/>
    </row>
    <row r="153" spans="1:8">
      <c r="A153" s="31" t="s">
        <v>264</v>
      </c>
      <c r="C153" s="38"/>
      <c r="D153" s="38"/>
      <c r="E153" s="38"/>
      <c r="F153" s="38"/>
      <c r="H153" s="40"/>
    </row>
    <row r="154" spans="1:8">
      <c r="A154" s="31" t="s">
        <v>71</v>
      </c>
      <c r="B154" s="31" t="s">
        <v>72</v>
      </c>
      <c r="C154" s="39">
        <v>1000</v>
      </c>
      <c r="D154" s="39">
        <v>750</v>
      </c>
      <c r="E154" s="39">
        <v>750</v>
      </c>
      <c r="F154" s="39">
        <v>750</v>
      </c>
      <c r="H154" s="87">
        <f t="shared" ref="H154" si="32">SUM(C154:F154)</f>
        <v>3250</v>
      </c>
    </row>
    <row r="155" spans="1:8">
      <c r="B155" s="31" t="s">
        <v>265</v>
      </c>
      <c r="C155" s="38">
        <f>SUM(C154)</f>
        <v>1000</v>
      </c>
      <c r="D155" s="38">
        <f t="shared" ref="D155:F155" si="33">SUM(D154)</f>
        <v>750</v>
      </c>
      <c r="E155" s="38">
        <f t="shared" si="33"/>
        <v>750</v>
      </c>
      <c r="F155" s="38">
        <f t="shared" si="33"/>
        <v>750</v>
      </c>
      <c r="H155" s="40">
        <f>SUM(H154)</f>
        <v>3250</v>
      </c>
    </row>
    <row r="156" spans="1:8">
      <c r="C156" s="38"/>
      <c r="D156" s="38"/>
      <c r="E156" s="38"/>
      <c r="F156" s="38"/>
      <c r="H156" s="40"/>
    </row>
    <row r="157" spans="1:8">
      <c r="A157" s="31" t="s">
        <v>266</v>
      </c>
      <c r="C157" s="38"/>
      <c r="D157" s="38"/>
      <c r="E157" s="38"/>
      <c r="F157" s="38"/>
      <c r="H157" s="40"/>
    </row>
    <row r="158" spans="1:8">
      <c r="A158" s="31" t="s">
        <v>73</v>
      </c>
      <c r="B158" s="31" t="s">
        <v>74</v>
      </c>
      <c r="C158" s="231">
        <v>2000</v>
      </c>
      <c r="D158" s="231">
        <v>2000</v>
      </c>
      <c r="E158" s="231">
        <v>2000</v>
      </c>
      <c r="F158" s="231">
        <v>2000</v>
      </c>
      <c r="H158" s="163">
        <f t="shared" ref="H158:H170" si="34">SUM(C158:F158)</f>
        <v>8000</v>
      </c>
    </row>
    <row r="159" spans="1:8">
      <c r="A159" s="31" t="s">
        <v>75</v>
      </c>
      <c r="B159" s="31" t="s">
        <v>154</v>
      </c>
      <c r="C159" s="38"/>
      <c r="D159" s="38">
        <f t="shared" ref="D159" si="35">75*12</f>
        <v>900</v>
      </c>
      <c r="E159" s="38"/>
      <c r="F159" s="38"/>
      <c r="G159" s="10" t="s">
        <v>424</v>
      </c>
      <c r="H159" s="163">
        <f t="shared" si="34"/>
        <v>900</v>
      </c>
    </row>
    <row r="160" spans="1:8">
      <c r="A160" s="31" t="s">
        <v>442</v>
      </c>
      <c r="B160" s="31" t="s">
        <v>97</v>
      </c>
      <c r="C160" s="231"/>
      <c r="D160" s="231"/>
      <c r="E160" s="231">
        <v>1850</v>
      </c>
      <c r="F160" s="231"/>
      <c r="H160" s="163">
        <f t="shared" si="34"/>
        <v>1850</v>
      </c>
    </row>
    <row r="161" spans="1:8">
      <c r="A161" s="31" t="s">
        <v>443</v>
      </c>
      <c r="B161" s="31" t="s">
        <v>421</v>
      </c>
      <c r="C161" s="231">
        <v>50</v>
      </c>
      <c r="D161" s="231">
        <v>50</v>
      </c>
      <c r="E161" s="231">
        <v>50</v>
      </c>
      <c r="F161" s="231">
        <v>50</v>
      </c>
      <c r="H161" s="163">
        <f t="shared" si="34"/>
        <v>200</v>
      </c>
    </row>
    <row r="162" spans="1:8">
      <c r="A162" s="31" t="s">
        <v>444</v>
      </c>
      <c r="B162" s="31" t="s">
        <v>423</v>
      </c>
      <c r="C162" s="231">
        <v>750</v>
      </c>
      <c r="D162" s="38"/>
      <c r="E162" s="38"/>
      <c r="F162" s="38"/>
      <c r="H162" s="163">
        <f t="shared" si="34"/>
        <v>750</v>
      </c>
    </row>
    <row r="163" spans="1:8">
      <c r="A163" s="31" t="s">
        <v>445</v>
      </c>
      <c r="B163" s="31" t="s">
        <v>416</v>
      </c>
      <c r="C163" s="38"/>
      <c r="D163" s="38"/>
      <c r="E163" s="38"/>
      <c r="F163" s="38"/>
      <c r="H163" s="163">
        <f t="shared" si="34"/>
        <v>0</v>
      </c>
    </row>
    <row r="164" spans="1:8">
      <c r="A164" s="31" t="s">
        <v>76</v>
      </c>
      <c r="B164" s="31" t="s">
        <v>155</v>
      </c>
      <c r="C164" s="38"/>
      <c r="D164" s="38"/>
      <c r="E164" s="38"/>
      <c r="F164" s="38"/>
      <c r="H164" s="163">
        <f t="shared" si="34"/>
        <v>0</v>
      </c>
    </row>
    <row r="165" spans="1:8">
      <c r="A165" s="31" t="s">
        <v>79</v>
      </c>
      <c r="B165" s="31" t="s">
        <v>156</v>
      </c>
      <c r="C165" s="38"/>
      <c r="D165" s="38"/>
      <c r="E165" s="38"/>
      <c r="F165" s="38"/>
      <c r="H165" s="163">
        <f t="shared" si="34"/>
        <v>0</v>
      </c>
    </row>
    <row r="166" spans="1:8">
      <c r="A166" s="31" t="s">
        <v>78</v>
      </c>
      <c r="B166" s="31" t="s">
        <v>157</v>
      </c>
      <c r="C166" s="38"/>
      <c r="D166" s="38"/>
      <c r="E166" s="38"/>
      <c r="F166" s="38"/>
      <c r="H166" s="163">
        <f t="shared" si="34"/>
        <v>0</v>
      </c>
    </row>
    <row r="167" spans="1:8">
      <c r="A167" s="31" t="s">
        <v>77</v>
      </c>
      <c r="B167" s="31" t="s">
        <v>158</v>
      </c>
      <c r="C167" s="38"/>
      <c r="D167" s="38"/>
      <c r="E167" s="38"/>
      <c r="F167" s="38"/>
      <c r="H167" s="163">
        <f t="shared" si="34"/>
        <v>0</v>
      </c>
    </row>
    <row r="168" spans="1:8">
      <c r="A168" s="31" t="s">
        <v>80</v>
      </c>
      <c r="B168" s="31" t="s">
        <v>159</v>
      </c>
      <c r="C168" s="38"/>
      <c r="D168" s="38"/>
      <c r="E168" s="38"/>
      <c r="F168" s="38"/>
      <c r="H168" s="163">
        <f t="shared" si="34"/>
        <v>0</v>
      </c>
    </row>
    <row r="169" spans="1:8">
      <c r="A169" s="31" t="s">
        <v>81</v>
      </c>
      <c r="B169" s="31" t="s">
        <v>160</v>
      </c>
      <c r="C169" s="38"/>
      <c r="D169" s="38"/>
      <c r="E169" s="38"/>
      <c r="F169" s="38"/>
      <c r="H169" s="163">
        <f t="shared" si="34"/>
        <v>0</v>
      </c>
    </row>
    <row r="170" spans="1:8">
      <c r="A170" s="31" t="s">
        <v>161</v>
      </c>
      <c r="B170" s="31" t="s">
        <v>162</v>
      </c>
      <c r="C170" s="39"/>
      <c r="D170" s="39"/>
      <c r="E170" s="39"/>
      <c r="F170" s="39"/>
      <c r="H170" s="87">
        <f t="shared" si="34"/>
        <v>0</v>
      </c>
    </row>
    <row r="171" spans="1:8">
      <c r="B171" s="31" t="s">
        <v>163</v>
      </c>
      <c r="C171" s="232">
        <f>SUM(C158:C170)</f>
        <v>2800</v>
      </c>
      <c r="D171" s="232">
        <f t="shared" ref="D171:F171" si="36">SUM(D158:D170)</f>
        <v>2950</v>
      </c>
      <c r="E171" s="232">
        <f t="shared" si="36"/>
        <v>3900</v>
      </c>
      <c r="F171" s="232">
        <f t="shared" si="36"/>
        <v>2050</v>
      </c>
      <c r="H171" s="40">
        <f>SUM(H158:H170)</f>
        <v>11700</v>
      </c>
    </row>
    <row r="172" spans="1:8">
      <c r="C172" s="38"/>
      <c r="D172" s="38"/>
      <c r="E172" s="38"/>
      <c r="F172" s="38"/>
      <c r="H172" s="40"/>
    </row>
    <row r="173" spans="1:8">
      <c r="A173" s="31" t="s">
        <v>164</v>
      </c>
      <c r="C173" s="38"/>
      <c r="D173" s="38"/>
      <c r="E173" s="38"/>
      <c r="F173" s="38"/>
      <c r="H173" s="40"/>
    </row>
    <row r="174" spans="1:8">
      <c r="A174" s="31" t="s">
        <v>165</v>
      </c>
      <c r="C174" s="38"/>
      <c r="D174" s="38"/>
      <c r="E174" s="38"/>
      <c r="F174" s="38"/>
      <c r="H174" s="40"/>
    </row>
    <row r="175" spans="1:8">
      <c r="A175" s="31" t="s">
        <v>86</v>
      </c>
      <c r="B175" s="31" t="s">
        <v>85</v>
      </c>
      <c r="C175" s="38">
        <v>750</v>
      </c>
      <c r="D175" s="38">
        <v>500</v>
      </c>
      <c r="E175" s="38">
        <v>500</v>
      </c>
      <c r="F175" s="38">
        <v>500</v>
      </c>
      <c r="H175" s="163">
        <f t="shared" ref="H175:H185" si="37">SUM(C175:F175)</f>
        <v>2250</v>
      </c>
    </row>
    <row r="176" spans="1:8">
      <c r="A176" s="31" t="s">
        <v>91</v>
      </c>
      <c r="B176" s="31" t="s">
        <v>92</v>
      </c>
      <c r="C176" s="38"/>
      <c r="D176" s="38"/>
      <c r="E176" s="38"/>
      <c r="F176" s="38"/>
      <c r="H176" s="163">
        <f t="shared" si="37"/>
        <v>0</v>
      </c>
    </row>
    <row r="177" spans="1:8">
      <c r="A177" s="31" t="s">
        <v>93</v>
      </c>
      <c r="B177" s="31" t="s">
        <v>94</v>
      </c>
      <c r="C177" s="38"/>
      <c r="D177" s="38"/>
      <c r="E177" s="38"/>
      <c r="F177" s="38"/>
      <c r="H177" s="163">
        <f t="shared" si="37"/>
        <v>0</v>
      </c>
    </row>
    <row r="178" spans="1:8">
      <c r="A178" s="31" t="s">
        <v>95</v>
      </c>
      <c r="B178" s="31" t="s">
        <v>405</v>
      </c>
      <c r="C178" s="38"/>
      <c r="D178" s="38"/>
      <c r="E178" s="38"/>
      <c r="F178" s="38"/>
      <c r="H178" s="163">
        <f t="shared" si="37"/>
        <v>0</v>
      </c>
    </row>
    <row r="179" spans="1:8">
      <c r="A179" s="31" t="s">
        <v>96</v>
      </c>
      <c r="B179" s="31" t="s">
        <v>404</v>
      </c>
      <c r="C179" s="38"/>
      <c r="D179" s="38"/>
      <c r="E179" s="38"/>
      <c r="F179" s="38"/>
      <c r="H179" s="163">
        <f t="shared" si="37"/>
        <v>0</v>
      </c>
    </row>
    <row r="180" spans="1:8">
      <c r="A180" s="31" t="s">
        <v>98</v>
      </c>
      <c r="B180" s="31" t="s">
        <v>99</v>
      </c>
      <c r="C180" s="38"/>
      <c r="D180" s="38"/>
      <c r="E180" s="38"/>
      <c r="F180" s="38"/>
      <c r="H180" s="163">
        <f t="shared" si="37"/>
        <v>0</v>
      </c>
    </row>
    <row r="181" spans="1:8">
      <c r="A181" s="31" t="s">
        <v>100</v>
      </c>
      <c r="B181" s="31" t="s">
        <v>284</v>
      </c>
      <c r="C181" s="38"/>
      <c r="D181" s="38"/>
      <c r="E181" s="38"/>
      <c r="F181" s="38"/>
      <c r="H181" s="163">
        <f t="shared" si="37"/>
        <v>0</v>
      </c>
    </row>
    <row r="182" spans="1:8">
      <c r="A182" s="31" t="s">
        <v>101</v>
      </c>
      <c r="B182" s="31" t="s">
        <v>102</v>
      </c>
      <c r="C182" s="38"/>
      <c r="D182" s="38"/>
      <c r="E182" s="38"/>
      <c r="F182" s="38"/>
      <c r="H182" s="163">
        <f t="shared" si="37"/>
        <v>0</v>
      </c>
    </row>
    <row r="183" spans="1:8">
      <c r="A183" s="31" t="s">
        <v>105</v>
      </c>
      <c r="B183" s="31" t="s">
        <v>167</v>
      </c>
      <c r="C183" s="38"/>
      <c r="D183" s="38"/>
      <c r="E183" s="38"/>
      <c r="F183" s="38"/>
      <c r="H183" s="163">
        <f t="shared" si="37"/>
        <v>0</v>
      </c>
    </row>
    <row r="184" spans="1:8">
      <c r="A184" s="31" t="s">
        <v>106</v>
      </c>
      <c r="B184" s="31" t="s">
        <v>107</v>
      </c>
      <c r="C184" s="38"/>
      <c r="D184" s="231">
        <v>19800</v>
      </c>
      <c r="E184" s="231">
        <v>9545</v>
      </c>
      <c r="F184" s="38"/>
      <c r="H184" s="163">
        <f t="shared" si="37"/>
        <v>29345</v>
      </c>
    </row>
    <row r="185" spans="1:8">
      <c r="A185" s="31" t="s">
        <v>428</v>
      </c>
      <c r="B185" s="31" t="s">
        <v>429</v>
      </c>
      <c r="C185" s="45"/>
      <c r="D185" s="45"/>
      <c r="E185" s="45"/>
      <c r="F185" s="45"/>
      <c r="H185" s="87">
        <f t="shared" si="37"/>
        <v>0</v>
      </c>
    </row>
    <row r="186" spans="1:8">
      <c r="B186" s="31" t="s">
        <v>168</v>
      </c>
      <c r="C186" s="38">
        <f>SUM(C175:C185)</f>
        <v>750</v>
      </c>
      <c r="D186" s="38">
        <f t="shared" ref="D186:F186" si="38">SUM(D175:D185)</f>
        <v>20300</v>
      </c>
      <c r="E186" s="38">
        <f t="shared" si="38"/>
        <v>10045</v>
      </c>
      <c r="F186" s="38">
        <f t="shared" si="38"/>
        <v>500</v>
      </c>
      <c r="H186" s="40">
        <f>SUM(H175:H185)</f>
        <v>31595</v>
      </c>
    </row>
    <row r="187" spans="1:8">
      <c r="C187" s="38"/>
      <c r="D187" s="38"/>
      <c r="E187" s="38"/>
      <c r="F187" s="38"/>
      <c r="H187" s="40"/>
    </row>
    <row r="188" spans="1:8" s="4" customFormat="1">
      <c r="A188" s="35"/>
      <c r="B188" s="35" t="s">
        <v>169</v>
      </c>
      <c r="C188" s="40">
        <f>SUM(C122+C133+C141+C150+C155+C171+C186)</f>
        <v>7770</v>
      </c>
      <c r="D188" s="40">
        <f t="shared" ref="D188:H188" si="39">SUM(D122+D133+D141+D150+D155+D171+D186)</f>
        <v>33720</v>
      </c>
      <c r="E188" s="40">
        <f t="shared" si="39"/>
        <v>101134</v>
      </c>
      <c r="F188" s="40">
        <f t="shared" si="39"/>
        <v>5020</v>
      </c>
      <c r="H188" s="40">
        <f t="shared" si="39"/>
        <v>147644</v>
      </c>
    </row>
    <row r="189" spans="1:8">
      <c r="C189" s="38"/>
      <c r="D189" s="38"/>
      <c r="E189" s="38"/>
      <c r="F189" s="38"/>
      <c r="H189" s="40"/>
    </row>
    <row r="190" spans="1:8">
      <c r="B190" s="35" t="s">
        <v>435</v>
      </c>
      <c r="C190" s="38"/>
      <c r="D190" s="38"/>
      <c r="E190" s="38"/>
      <c r="F190" s="38"/>
      <c r="H190" s="40"/>
    </row>
    <row r="191" spans="1:8" s="4" customFormat="1">
      <c r="A191" s="31"/>
      <c r="B191" s="31"/>
      <c r="C191" s="40">
        <f>SUM(C68-C104-C188)</f>
        <v>71447.398799999995</v>
      </c>
      <c r="D191" s="40">
        <f t="shared" ref="D191:F191" si="40">SUM(D68-D104-D188)</f>
        <v>9290.0668000000005</v>
      </c>
      <c r="E191" s="40">
        <f t="shared" si="40"/>
        <v>-142510.18660000002</v>
      </c>
      <c r="F191" s="40">
        <f t="shared" si="40"/>
        <v>2817.5467999999964</v>
      </c>
      <c r="H191" s="40">
        <f t="shared" ref="H191" si="41">SUM(H68-H104-H188)</f>
        <v>-58955.174200000009</v>
      </c>
    </row>
    <row r="192" spans="1:8">
      <c r="A192" s="35"/>
      <c r="B192" s="35" t="s">
        <v>170</v>
      </c>
    </row>
    <row r="194" spans="1:2">
      <c r="A194" s="78"/>
    </row>
    <row r="195" spans="1:2">
      <c r="A195" s="78"/>
    </row>
    <row r="196" spans="1:2">
      <c r="B196" s="26"/>
    </row>
  </sheetData>
  <phoneticPr fontId="5" type="noConversion"/>
  <pageMargins left="0.22" right="0.17" top="1.49" bottom="0.42" header="0.17" footer="0.17"/>
  <pageSetup orientation="portrait"/>
  <headerFooter alignWithMargins="0">
    <oddHeader>&amp;C&amp;"MS Sans Serif,Bold"&amp;18ISL
BUDGET '13-2014
DEVELOPMENT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2:I196"/>
  <sheetViews>
    <sheetView workbookViewId="0">
      <pane xSplit="2" ySplit="10" topLeftCell="C178" activePane="bottomRight" state="frozen"/>
      <selection pane="topRight" activeCell="C1" sqref="C1"/>
      <selection pane="bottomLeft" activeCell="A11" sqref="A11"/>
      <selection pane="bottomRight" activeCell="F177" sqref="F177"/>
    </sheetView>
  </sheetViews>
  <sheetFormatPr baseColWidth="10" defaultColWidth="11.42578125" defaultRowHeight="10" x14ac:dyDescent="0"/>
  <cols>
    <col min="1" max="1" width="15" style="31" customWidth="1"/>
    <col min="2" max="2" width="26.85546875" style="31" customWidth="1"/>
    <col min="3" max="3" width="11.28515625" style="1" bestFit="1" customWidth="1"/>
    <col min="4" max="6" width="12" style="1" bestFit="1" customWidth="1"/>
    <col min="7" max="7" width="4.85546875" style="1" customWidth="1"/>
    <col min="8" max="8" width="12" style="1" customWidth="1"/>
    <col min="9" max="16384" width="11.42578125" style="1"/>
  </cols>
  <sheetData>
    <row r="2" spans="1:8">
      <c r="B2" s="30" t="s">
        <v>614</v>
      </c>
    </row>
    <row r="3" spans="1:8">
      <c r="B3" s="174" t="s">
        <v>584</v>
      </c>
    </row>
    <row r="4" spans="1:8">
      <c r="A4" s="31" t="s">
        <v>433</v>
      </c>
      <c r="B4" s="32">
        <v>490</v>
      </c>
    </row>
    <row r="5" spans="1:8">
      <c r="A5" s="31" t="s">
        <v>586</v>
      </c>
      <c r="B5" s="32">
        <v>150</v>
      </c>
    </row>
    <row r="6" spans="1:8">
      <c r="A6" s="31" t="s">
        <v>434</v>
      </c>
      <c r="B6" s="32">
        <v>215</v>
      </c>
    </row>
    <row r="7" spans="1:8" s="8" customFormat="1">
      <c r="A7" s="28" t="s">
        <v>587</v>
      </c>
      <c r="B7" s="32">
        <v>400</v>
      </c>
      <c r="C7" s="177">
        <v>1</v>
      </c>
      <c r="D7" s="177">
        <v>6</v>
      </c>
      <c r="E7" s="177">
        <v>2</v>
      </c>
      <c r="F7" s="177">
        <v>5</v>
      </c>
    </row>
    <row r="8" spans="1:8">
      <c r="B8" s="175">
        <f>SUM(B4:B7)</f>
        <v>1255</v>
      </c>
      <c r="C8" s="56"/>
      <c r="D8" s="56"/>
      <c r="E8" s="56"/>
      <c r="F8" s="56"/>
    </row>
    <row r="9" spans="1:8">
      <c r="C9" s="56" t="s">
        <v>610</v>
      </c>
      <c r="D9" s="56" t="s">
        <v>611</v>
      </c>
      <c r="E9" s="56" t="s">
        <v>612</v>
      </c>
      <c r="F9" s="56" t="s">
        <v>613</v>
      </c>
    </row>
    <row r="10" spans="1:8" s="7" customFormat="1" ht="11" thickBot="1">
      <c r="A10" s="33"/>
      <c r="B10" s="33" t="s">
        <v>174</v>
      </c>
      <c r="C10" s="165">
        <v>2620</v>
      </c>
      <c r="D10" s="165">
        <v>2620</v>
      </c>
      <c r="E10" s="165">
        <v>2620</v>
      </c>
      <c r="F10" s="165">
        <v>2620</v>
      </c>
    </row>
    <row r="11" spans="1:8">
      <c r="A11" s="31" t="s">
        <v>268</v>
      </c>
    </row>
    <row r="12" spans="1:8">
      <c r="A12" s="31" t="s">
        <v>269</v>
      </c>
    </row>
    <row r="13" spans="1:8">
      <c r="A13" s="31" t="s">
        <v>171</v>
      </c>
      <c r="B13" s="31" t="s">
        <v>270</v>
      </c>
      <c r="C13" s="38"/>
      <c r="D13" s="38"/>
      <c r="E13" s="38"/>
      <c r="F13" s="38"/>
      <c r="G13" s="38"/>
      <c r="H13" s="38">
        <f t="shared" ref="H13:H38" si="0">+SUM(C13:G13)</f>
        <v>0</v>
      </c>
    </row>
    <row r="14" spans="1:8">
      <c r="A14" s="31" t="s">
        <v>172</v>
      </c>
      <c r="B14" s="31" t="s">
        <v>271</v>
      </c>
      <c r="C14" s="38"/>
      <c r="D14" s="38"/>
      <c r="E14" s="38"/>
      <c r="F14" s="38"/>
      <c r="G14" s="38"/>
      <c r="H14" s="38">
        <f t="shared" si="0"/>
        <v>0</v>
      </c>
    </row>
    <row r="15" spans="1:8">
      <c r="A15" s="31" t="s">
        <v>173</v>
      </c>
      <c r="B15" s="31" t="s">
        <v>272</v>
      </c>
      <c r="C15" s="38"/>
      <c r="D15" s="38"/>
      <c r="E15" s="38"/>
      <c r="F15" s="38"/>
      <c r="G15" s="38"/>
      <c r="H15" s="38">
        <f t="shared" si="0"/>
        <v>0</v>
      </c>
    </row>
    <row r="16" spans="1:8">
      <c r="A16" s="31" t="s">
        <v>193</v>
      </c>
      <c r="B16" s="31" t="s">
        <v>273</v>
      </c>
      <c r="C16" s="38"/>
      <c r="D16" s="38"/>
      <c r="E16" s="38"/>
      <c r="F16" s="38"/>
      <c r="G16" s="38"/>
      <c r="H16" s="38">
        <f t="shared" si="0"/>
        <v>0</v>
      </c>
    </row>
    <row r="17" spans="1:8">
      <c r="A17" s="31" t="s">
        <v>194</v>
      </c>
      <c r="B17" s="31" t="s">
        <v>274</v>
      </c>
      <c r="C17" s="38"/>
      <c r="D17" s="38"/>
      <c r="E17" s="38"/>
      <c r="F17" s="38"/>
      <c r="G17" s="38"/>
      <c r="H17" s="38">
        <f t="shared" si="0"/>
        <v>0</v>
      </c>
    </row>
    <row r="18" spans="1:8">
      <c r="A18" s="31" t="s">
        <v>195</v>
      </c>
      <c r="B18" s="31" t="s">
        <v>275</v>
      </c>
      <c r="C18" s="38"/>
      <c r="D18" s="38"/>
      <c r="E18" s="38"/>
      <c r="F18" s="38"/>
      <c r="G18" s="38"/>
      <c r="H18" s="38">
        <f t="shared" si="0"/>
        <v>0</v>
      </c>
    </row>
    <row r="19" spans="1:8">
      <c r="A19" s="31" t="s">
        <v>196</v>
      </c>
      <c r="B19" s="31" t="s">
        <v>276</v>
      </c>
      <c r="C19" s="38"/>
      <c r="D19" s="38"/>
      <c r="E19" s="38"/>
      <c r="F19" s="38"/>
      <c r="G19" s="38"/>
      <c r="H19" s="38">
        <f t="shared" si="0"/>
        <v>0</v>
      </c>
    </row>
    <row r="20" spans="1:8">
      <c r="A20" s="31" t="s">
        <v>197</v>
      </c>
      <c r="B20" s="31" t="s">
        <v>277</v>
      </c>
      <c r="C20" s="38"/>
      <c r="D20" s="38"/>
      <c r="E20" s="38"/>
      <c r="F20" s="38"/>
      <c r="G20" s="38"/>
      <c r="H20" s="38">
        <f t="shared" si="0"/>
        <v>0</v>
      </c>
    </row>
    <row r="21" spans="1:8">
      <c r="A21" s="31" t="s">
        <v>198</v>
      </c>
      <c r="B21" s="31" t="s">
        <v>278</v>
      </c>
      <c r="C21" s="38"/>
      <c r="D21" s="38"/>
      <c r="E21" s="38"/>
      <c r="F21" s="38"/>
      <c r="G21" s="38"/>
      <c r="H21" s="38">
        <f t="shared" si="0"/>
        <v>0</v>
      </c>
    </row>
    <row r="22" spans="1:8">
      <c r="A22" s="31" t="s">
        <v>199</v>
      </c>
      <c r="B22" s="31" t="s">
        <v>279</v>
      </c>
      <c r="C22" s="38"/>
      <c r="D22" s="38"/>
      <c r="E22" s="38"/>
      <c r="F22" s="38"/>
      <c r="G22" s="38"/>
      <c r="H22" s="38">
        <f t="shared" si="0"/>
        <v>0</v>
      </c>
    </row>
    <row r="23" spans="1:8">
      <c r="A23" s="31" t="s">
        <v>200</v>
      </c>
      <c r="B23" s="31" t="s">
        <v>280</v>
      </c>
      <c r="C23" s="38"/>
      <c r="D23" s="38"/>
      <c r="E23" s="38"/>
      <c r="F23" s="38"/>
      <c r="G23" s="38"/>
      <c r="H23" s="38">
        <f t="shared" si="0"/>
        <v>0</v>
      </c>
    </row>
    <row r="24" spans="1:8">
      <c r="A24" s="31" t="s">
        <v>201</v>
      </c>
      <c r="B24" s="31" t="s">
        <v>281</v>
      </c>
      <c r="C24" s="38"/>
      <c r="D24" s="38"/>
      <c r="E24" s="38"/>
      <c r="F24" s="38"/>
      <c r="G24" s="38"/>
      <c r="H24" s="38">
        <f t="shared" si="0"/>
        <v>0</v>
      </c>
    </row>
    <row r="25" spans="1:8">
      <c r="A25" s="31" t="s">
        <v>202</v>
      </c>
      <c r="B25" s="31" t="s">
        <v>282</v>
      </c>
      <c r="C25" s="38"/>
      <c r="D25" s="38"/>
      <c r="E25" s="38"/>
      <c r="F25" s="38"/>
      <c r="G25" s="38"/>
      <c r="H25" s="38">
        <f t="shared" si="0"/>
        <v>0</v>
      </c>
    </row>
    <row r="26" spans="1:8">
      <c r="A26" s="31" t="s">
        <v>203</v>
      </c>
      <c r="B26" s="31" t="s">
        <v>283</v>
      </c>
      <c r="C26" s="38"/>
      <c r="D26" s="38"/>
      <c r="E26" s="38"/>
      <c r="F26" s="38"/>
      <c r="G26" s="38"/>
      <c r="H26" s="38">
        <f t="shared" si="0"/>
        <v>0</v>
      </c>
    </row>
    <row r="27" spans="1:8">
      <c r="A27" s="31" t="s">
        <v>204</v>
      </c>
      <c r="B27" s="31" t="s">
        <v>284</v>
      </c>
      <c r="C27" s="38"/>
      <c r="D27" s="38"/>
      <c r="E27" s="38"/>
      <c r="F27" s="38"/>
      <c r="G27" s="38"/>
      <c r="H27" s="38">
        <f t="shared" si="0"/>
        <v>0</v>
      </c>
    </row>
    <row r="28" spans="1:8">
      <c r="A28" s="31" t="s">
        <v>205</v>
      </c>
      <c r="B28" s="31" t="s">
        <v>285</v>
      </c>
      <c r="C28" s="38"/>
      <c r="D28" s="38"/>
      <c r="E28" s="38"/>
      <c r="F28" s="38"/>
      <c r="G28" s="38"/>
      <c r="H28" s="38">
        <f t="shared" si="0"/>
        <v>0</v>
      </c>
    </row>
    <row r="29" spans="1:8">
      <c r="A29" s="31" t="s">
        <v>206</v>
      </c>
      <c r="B29" s="31" t="s">
        <v>286</v>
      </c>
      <c r="C29" s="38"/>
      <c r="D29" s="38"/>
      <c r="E29" s="38"/>
      <c r="F29" s="38"/>
      <c r="G29" s="38"/>
      <c r="H29" s="38">
        <f t="shared" si="0"/>
        <v>0</v>
      </c>
    </row>
    <row r="30" spans="1:8">
      <c r="A30" s="31" t="s">
        <v>208</v>
      </c>
      <c r="B30" s="31" t="s">
        <v>287</v>
      </c>
      <c r="C30" s="38"/>
      <c r="D30" s="38"/>
      <c r="E30" s="38"/>
      <c r="F30" s="38"/>
      <c r="G30" s="38"/>
      <c r="H30" s="38">
        <f t="shared" si="0"/>
        <v>0</v>
      </c>
    </row>
    <row r="31" spans="1:8">
      <c r="A31" s="31" t="s">
        <v>207</v>
      </c>
      <c r="B31" s="31" t="s">
        <v>288</v>
      </c>
      <c r="C31" s="38"/>
      <c r="D31" s="38"/>
      <c r="E31" s="38"/>
      <c r="F31" s="38"/>
      <c r="G31" s="38"/>
      <c r="H31" s="38">
        <f t="shared" si="0"/>
        <v>0</v>
      </c>
    </row>
    <row r="32" spans="1:8">
      <c r="A32" s="31" t="s">
        <v>209</v>
      </c>
      <c r="B32" s="31" t="s">
        <v>210</v>
      </c>
      <c r="C32" s="38"/>
      <c r="D32" s="38"/>
      <c r="E32" s="38"/>
      <c r="F32" s="38"/>
      <c r="G32" s="38"/>
      <c r="H32" s="38">
        <f t="shared" si="0"/>
        <v>0</v>
      </c>
    </row>
    <row r="33" spans="1:8">
      <c r="A33" s="31" t="s">
        <v>213</v>
      </c>
      <c r="B33" s="31" t="s">
        <v>214</v>
      </c>
      <c r="C33" s="38"/>
      <c r="D33" s="38"/>
      <c r="E33" s="38"/>
      <c r="F33" s="38"/>
      <c r="G33" s="38"/>
      <c r="H33" s="38">
        <f t="shared" si="0"/>
        <v>0</v>
      </c>
    </row>
    <row r="34" spans="1:8">
      <c r="A34" s="31" t="s">
        <v>212</v>
      </c>
      <c r="B34" s="31" t="s">
        <v>289</v>
      </c>
      <c r="C34" s="38"/>
      <c r="D34" s="38"/>
      <c r="E34" s="38"/>
      <c r="F34" s="38"/>
      <c r="G34" s="38"/>
      <c r="H34" s="38">
        <f t="shared" si="0"/>
        <v>0</v>
      </c>
    </row>
    <row r="35" spans="1:8">
      <c r="A35" s="31" t="s">
        <v>211</v>
      </c>
      <c r="B35" s="31" t="s">
        <v>290</v>
      </c>
      <c r="C35" s="38"/>
      <c r="D35" s="38"/>
      <c r="E35" s="38"/>
      <c r="F35" s="38"/>
      <c r="G35" s="38"/>
      <c r="H35" s="38">
        <f t="shared" si="0"/>
        <v>0</v>
      </c>
    </row>
    <row r="36" spans="1:8">
      <c r="A36" s="31" t="s">
        <v>215</v>
      </c>
      <c r="B36" s="31" t="s">
        <v>291</v>
      </c>
      <c r="C36" s="38"/>
      <c r="D36" s="38"/>
      <c r="E36" s="38"/>
      <c r="F36" s="38"/>
      <c r="G36" s="38"/>
      <c r="H36" s="38">
        <f t="shared" si="0"/>
        <v>0</v>
      </c>
    </row>
    <row r="37" spans="1:8">
      <c r="A37" s="31" t="s">
        <v>216</v>
      </c>
      <c r="B37" s="31" t="s">
        <v>292</v>
      </c>
      <c r="C37" s="39"/>
      <c r="D37" s="39"/>
      <c r="E37" s="39"/>
      <c r="F37" s="39"/>
      <c r="G37" s="38"/>
      <c r="H37" s="39">
        <f t="shared" si="0"/>
        <v>0</v>
      </c>
    </row>
    <row r="38" spans="1:8">
      <c r="B38" s="31" t="s">
        <v>293</v>
      </c>
      <c r="C38" s="38">
        <f>+SUM(C13:C37)</f>
        <v>0</v>
      </c>
      <c r="D38" s="38">
        <f>+SUM(D13:D37)</f>
        <v>0</v>
      </c>
      <c r="E38" s="38">
        <f>+SUM(E13:E37)</f>
        <v>0</v>
      </c>
      <c r="F38" s="38">
        <f>+SUM(F13:F37)</f>
        <v>0</v>
      </c>
      <c r="G38" s="38"/>
      <c r="H38" s="38">
        <f t="shared" si="0"/>
        <v>0</v>
      </c>
    </row>
    <row r="39" spans="1:8">
      <c r="C39" s="38"/>
      <c r="D39" s="38"/>
      <c r="E39" s="38"/>
      <c r="F39" s="38"/>
      <c r="G39" s="38"/>
      <c r="H39" s="38"/>
    </row>
    <row r="40" spans="1:8">
      <c r="A40" s="31" t="s">
        <v>294</v>
      </c>
      <c r="C40" s="38"/>
      <c r="D40" s="38"/>
      <c r="E40" s="38"/>
      <c r="F40" s="38"/>
      <c r="G40" s="38"/>
      <c r="H40" s="38"/>
    </row>
    <row r="41" spans="1:8">
      <c r="A41" s="31" t="s">
        <v>217</v>
      </c>
      <c r="B41" s="31" t="s">
        <v>295</v>
      </c>
      <c r="C41" s="38"/>
      <c r="D41" s="38"/>
      <c r="E41" s="38"/>
      <c r="F41" s="38"/>
      <c r="G41" s="38"/>
      <c r="H41" s="38">
        <f t="shared" ref="H41:H49" si="1">+SUM(C41:G41)</f>
        <v>0</v>
      </c>
    </row>
    <row r="42" spans="1:8">
      <c r="A42" s="31" t="s">
        <v>218</v>
      </c>
      <c r="B42" s="31" t="s">
        <v>219</v>
      </c>
      <c r="C42" s="38"/>
      <c r="D42" s="38"/>
      <c r="E42" s="38"/>
      <c r="F42" s="38"/>
      <c r="G42" s="38"/>
      <c r="H42" s="38">
        <f t="shared" si="1"/>
        <v>0</v>
      </c>
    </row>
    <row r="43" spans="1:8">
      <c r="A43" s="31" t="s">
        <v>220</v>
      </c>
      <c r="B43" s="31" t="s">
        <v>221</v>
      </c>
      <c r="C43" s="38"/>
      <c r="D43" s="38"/>
      <c r="E43" s="38"/>
      <c r="F43" s="38"/>
      <c r="G43" s="38"/>
      <c r="H43" s="38">
        <f t="shared" si="1"/>
        <v>0</v>
      </c>
    </row>
    <row r="44" spans="1:8">
      <c r="A44" s="31" t="s">
        <v>222</v>
      </c>
      <c r="B44" s="31" t="s">
        <v>296</v>
      </c>
      <c r="C44" s="38"/>
      <c r="D44" s="38"/>
      <c r="E44" s="38"/>
      <c r="F44" s="38"/>
      <c r="G44" s="38"/>
      <c r="H44" s="38">
        <f t="shared" si="1"/>
        <v>0</v>
      </c>
    </row>
    <row r="45" spans="1:8">
      <c r="A45" s="31" t="s">
        <v>223</v>
      </c>
      <c r="B45" s="31" t="s">
        <v>224</v>
      </c>
      <c r="C45" s="38"/>
      <c r="D45" s="38"/>
      <c r="E45" s="38"/>
      <c r="F45" s="38"/>
      <c r="G45" s="38"/>
      <c r="H45" s="38">
        <f t="shared" si="1"/>
        <v>0</v>
      </c>
    </row>
    <row r="46" spans="1:8">
      <c r="A46" s="31" t="s">
        <v>225</v>
      </c>
      <c r="B46" s="31" t="s">
        <v>226</v>
      </c>
      <c r="C46" s="38"/>
      <c r="D46" s="38"/>
      <c r="E46" s="38"/>
      <c r="F46" s="38"/>
      <c r="G46" s="38"/>
      <c r="H46" s="38">
        <f t="shared" si="1"/>
        <v>0</v>
      </c>
    </row>
    <row r="47" spans="1:8">
      <c r="A47" s="31" t="s">
        <v>227</v>
      </c>
      <c r="B47" s="31" t="s">
        <v>297</v>
      </c>
      <c r="C47" s="38"/>
      <c r="D47" s="38"/>
      <c r="E47" s="38"/>
      <c r="F47" s="38"/>
      <c r="G47" s="38"/>
      <c r="H47" s="38">
        <f t="shared" si="1"/>
        <v>0</v>
      </c>
    </row>
    <row r="48" spans="1:8">
      <c r="A48" s="31" t="s">
        <v>228</v>
      </c>
      <c r="B48" s="31" t="s">
        <v>298</v>
      </c>
      <c r="C48" s="39"/>
      <c r="D48" s="39"/>
      <c r="E48" s="39"/>
      <c r="F48" s="39"/>
      <c r="G48" s="38"/>
      <c r="H48" s="39">
        <f t="shared" si="1"/>
        <v>0</v>
      </c>
    </row>
    <row r="49" spans="1:8">
      <c r="B49" s="31" t="s">
        <v>299</v>
      </c>
      <c r="C49" s="38">
        <f>+SUM(C41:C48)</f>
        <v>0</v>
      </c>
      <c r="D49" s="38">
        <f>+SUM(D41:D48)</f>
        <v>0</v>
      </c>
      <c r="E49" s="38">
        <f>+SUM(E41:E48)</f>
        <v>0</v>
      </c>
      <c r="F49" s="38">
        <f>+SUM(F41:F48)</f>
        <v>0</v>
      </c>
      <c r="G49" s="38"/>
      <c r="H49" s="38">
        <f t="shared" si="1"/>
        <v>0</v>
      </c>
    </row>
    <row r="50" spans="1:8">
      <c r="C50" s="38"/>
      <c r="D50" s="38"/>
      <c r="E50" s="38"/>
      <c r="F50" s="38"/>
      <c r="G50" s="38"/>
      <c r="H50" s="38"/>
    </row>
    <row r="51" spans="1:8">
      <c r="A51" s="31" t="s">
        <v>300</v>
      </c>
      <c r="C51" s="38"/>
      <c r="D51" s="38"/>
      <c r="E51" s="38"/>
      <c r="F51" s="38"/>
      <c r="G51" s="38"/>
      <c r="H51" s="38"/>
    </row>
    <row r="52" spans="1:8">
      <c r="A52" s="31" t="s">
        <v>301</v>
      </c>
      <c r="C52" s="38"/>
      <c r="D52" s="38"/>
      <c r="E52" s="38"/>
      <c r="F52" s="38"/>
      <c r="G52" s="38"/>
      <c r="H52" s="38"/>
    </row>
    <row r="53" spans="1:8">
      <c r="A53" s="31" t="s">
        <v>229</v>
      </c>
      <c r="B53" s="31" t="s">
        <v>389</v>
      </c>
      <c r="C53" s="38"/>
      <c r="D53" s="38"/>
      <c r="E53" s="38"/>
      <c r="F53" s="38"/>
      <c r="G53" s="38"/>
      <c r="H53" s="38">
        <f t="shared" ref="H53:H66" si="2">+SUM(C53:G53)</f>
        <v>0</v>
      </c>
    </row>
    <row r="54" spans="1:8">
      <c r="A54" s="31" t="s">
        <v>230</v>
      </c>
      <c r="B54" s="31" t="s">
        <v>390</v>
      </c>
      <c r="C54" s="38"/>
      <c r="D54" s="38"/>
      <c r="E54" s="38"/>
      <c r="F54" s="38"/>
      <c r="G54" s="38"/>
      <c r="H54" s="38">
        <f t="shared" si="2"/>
        <v>0</v>
      </c>
    </row>
    <row r="55" spans="1:8">
      <c r="A55" s="31" t="s">
        <v>231</v>
      </c>
      <c r="B55" s="31" t="s">
        <v>391</v>
      </c>
      <c r="C55" s="38"/>
      <c r="D55" s="38"/>
      <c r="E55" s="38"/>
      <c r="F55" s="38"/>
      <c r="G55" s="38"/>
      <c r="H55" s="38">
        <f t="shared" si="2"/>
        <v>0</v>
      </c>
    </row>
    <row r="56" spans="1:8">
      <c r="A56" s="31" t="s">
        <v>232</v>
      </c>
      <c r="B56" s="31" t="s">
        <v>302</v>
      </c>
      <c r="C56" s="38"/>
      <c r="D56" s="38"/>
      <c r="E56" s="38"/>
      <c r="F56" s="38"/>
      <c r="G56" s="38"/>
      <c r="H56" s="38">
        <f t="shared" si="2"/>
        <v>0</v>
      </c>
    </row>
    <row r="57" spans="1:8">
      <c r="A57" s="31" t="s">
        <v>233</v>
      </c>
      <c r="B57" s="31" t="s">
        <v>303</v>
      </c>
      <c r="C57" s="38"/>
      <c r="D57" s="38"/>
      <c r="E57" s="38"/>
      <c r="F57" s="38"/>
      <c r="G57" s="38"/>
      <c r="H57" s="38">
        <f t="shared" si="2"/>
        <v>0</v>
      </c>
    </row>
    <row r="58" spans="1:8">
      <c r="A58" s="31" t="s">
        <v>0</v>
      </c>
      <c r="B58" s="31" t="s">
        <v>304</v>
      </c>
      <c r="C58" s="38"/>
      <c r="D58" s="38"/>
      <c r="E58" s="38"/>
      <c r="F58" s="38"/>
      <c r="G58" s="38"/>
      <c r="H58" s="38">
        <f t="shared" si="2"/>
        <v>0</v>
      </c>
    </row>
    <row r="59" spans="1:8">
      <c r="A59" s="31" t="s">
        <v>1</v>
      </c>
      <c r="B59" s="31" t="s">
        <v>305</v>
      </c>
      <c r="C59" s="38"/>
      <c r="D59" s="38"/>
      <c r="E59" s="38"/>
      <c r="F59" s="38"/>
      <c r="G59" s="38"/>
      <c r="H59" s="38">
        <f t="shared" si="2"/>
        <v>0</v>
      </c>
    </row>
    <row r="60" spans="1:8">
      <c r="A60" s="31" t="s">
        <v>3</v>
      </c>
      <c r="B60" s="31" t="s">
        <v>2</v>
      </c>
      <c r="C60" s="38"/>
      <c r="D60" s="38"/>
      <c r="E60" s="38"/>
      <c r="F60" s="38"/>
      <c r="G60" s="38"/>
      <c r="H60" s="38">
        <f t="shared" si="2"/>
        <v>0</v>
      </c>
    </row>
    <row r="61" spans="1:8">
      <c r="A61" s="31" t="s">
        <v>4</v>
      </c>
      <c r="B61" s="31" t="s">
        <v>5</v>
      </c>
      <c r="C61" s="38"/>
      <c r="D61" s="38"/>
      <c r="E61" s="38"/>
      <c r="F61" s="38"/>
      <c r="G61" s="38"/>
      <c r="H61" s="38">
        <f t="shared" si="2"/>
        <v>0</v>
      </c>
    </row>
    <row r="62" spans="1:8">
      <c r="A62" s="31" t="s">
        <v>6</v>
      </c>
      <c r="B62" s="31" t="s">
        <v>7</v>
      </c>
      <c r="C62" s="38"/>
      <c r="D62" s="38"/>
      <c r="E62" s="38"/>
      <c r="F62" s="38"/>
      <c r="G62" s="38"/>
      <c r="H62" s="38">
        <f t="shared" si="2"/>
        <v>0</v>
      </c>
    </row>
    <row r="63" spans="1:8">
      <c r="A63" s="31" t="s">
        <v>8</v>
      </c>
      <c r="B63" s="31" t="s">
        <v>9</v>
      </c>
      <c r="C63" s="38"/>
      <c r="D63" s="38"/>
      <c r="E63" s="38"/>
      <c r="F63" s="38"/>
      <c r="G63" s="38"/>
      <c r="H63" s="38">
        <f t="shared" si="2"/>
        <v>0</v>
      </c>
    </row>
    <row r="64" spans="1:8">
      <c r="A64" s="31" t="s">
        <v>11</v>
      </c>
      <c r="B64" s="31" t="s">
        <v>307</v>
      </c>
      <c r="C64" s="38"/>
      <c r="D64" s="38"/>
      <c r="E64" s="38"/>
      <c r="F64" s="38"/>
      <c r="G64" s="38"/>
      <c r="H64" s="38">
        <f t="shared" si="2"/>
        <v>0</v>
      </c>
    </row>
    <row r="65" spans="1:9">
      <c r="A65" s="31" t="s">
        <v>10</v>
      </c>
      <c r="B65" s="31" t="s">
        <v>306</v>
      </c>
      <c r="C65" s="39"/>
      <c r="D65" s="39"/>
      <c r="E65" s="39"/>
      <c r="F65" s="39"/>
      <c r="G65" s="38"/>
      <c r="H65" s="39">
        <f t="shared" si="2"/>
        <v>0</v>
      </c>
    </row>
    <row r="66" spans="1:9">
      <c r="B66" s="31" t="s">
        <v>308</v>
      </c>
      <c r="C66" s="38">
        <f>+SUM(C53:C65)</f>
        <v>0</v>
      </c>
      <c r="D66" s="38">
        <f>+SUM(D53:D65)</f>
        <v>0</v>
      </c>
      <c r="E66" s="38">
        <f>+SUM(E53:E65)</f>
        <v>0</v>
      </c>
      <c r="F66" s="38">
        <f>+SUM(F53:F65)</f>
        <v>0</v>
      </c>
      <c r="G66" s="38"/>
      <c r="H66" s="38">
        <f t="shared" si="2"/>
        <v>0</v>
      </c>
    </row>
    <row r="67" spans="1:9">
      <c r="C67" s="38"/>
      <c r="D67" s="38"/>
      <c r="E67" s="38"/>
      <c r="F67" s="38"/>
      <c r="G67" s="38"/>
      <c r="H67" s="38"/>
    </row>
    <row r="68" spans="1:9" s="4" customFormat="1">
      <c r="A68" s="35"/>
      <c r="B68" s="35" t="s">
        <v>309</v>
      </c>
      <c r="C68" s="40">
        <f>+C66+C49+C38</f>
        <v>0</v>
      </c>
      <c r="D68" s="40">
        <f>+D66+D49+D38</f>
        <v>0</v>
      </c>
      <c r="E68" s="40">
        <f>+E66+E49+E38</f>
        <v>0</v>
      </c>
      <c r="F68" s="40">
        <f>+F66+F49+F38</f>
        <v>0</v>
      </c>
      <c r="G68" s="40"/>
      <c r="H68" s="40">
        <f>+SUM(C68:G68)</f>
        <v>0</v>
      </c>
    </row>
    <row r="69" spans="1:9">
      <c r="C69" s="38"/>
      <c r="D69" s="38"/>
      <c r="E69" s="38"/>
      <c r="F69" s="38"/>
      <c r="G69" s="38"/>
      <c r="H69" s="38"/>
    </row>
    <row r="70" spans="1:9">
      <c r="A70" s="31" t="s">
        <v>310</v>
      </c>
      <c r="C70" s="38"/>
      <c r="D70" s="38"/>
      <c r="E70" s="38"/>
      <c r="F70" s="38"/>
      <c r="G70" s="38"/>
      <c r="H70" s="38"/>
    </row>
    <row r="71" spans="1:9">
      <c r="A71" s="31" t="s">
        <v>311</v>
      </c>
      <c r="C71" s="38"/>
      <c r="D71" s="38"/>
      <c r="E71" s="38"/>
      <c r="F71" s="38"/>
      <c r="G71" s="38"/>
      <c r="H71" s="38"/>
    </row>
    <row r="72" spans="1:9">
      <c r="A72" s="31" t="s">
        <v>19</v>
      </c>
      <c r="B72" s="31" t="s">
        <v>320</v>
      </c>
      <c r="C72" s="47">
        <f>SUM('13-2014 Ret Emp'!I79)</f>
        <v>64073.694254867296</v>
      </c>
      <c r="D72" s="38"/>
      <c r="E72" s="38"/>
      <c r="F72" s="38"/>
      <c r="G72" s="38"/>
      <c r="H72" s="38">
        <f t="shared" ref="H72:H80" si="3">+SUM(C72:G72)</f>
        <v>64073.694254867296</v>
      </c>
      <c r="I72" s="10"/>
    </row>
    <row r="73" spans="1:9">
      <c r="A73" s="31" t="s">
        <v>12</v>
      </c>
      <c r="B73" s="31" t="s">
        <v>312</v>
      </c>
      <c r="C73" s="38"/>
      <c r="D73" s="38"/>
      <c r="E73" s="38"/>
      <c r="F73" s="38"/>
      <c r="G73" s="38"/>
      <c r="H73" s="38">
        <f t="shared" si="3"/>
        <v>0</v>
      </c>
      <c r="I73" s="10"/>
    </row>
    <row r="74" spans="1:9">
      <c r="A74" s="31" t="s">
        <v>13</v>
      </c>
      <c r="B74" s="31" t="s">
        <v>313</v>
      </c>
      <c r="C74" s="38"/>
      <c r="D74" s="38"/>
      <c r="E74" s="38"/>
      <c r="F74" s="38"/>
      <c r="G74" s="38"/>
      <c r="H74" s="38">
        <f t="shared" si="3"/>
        <v>0</v>
      </c>
      <c r="I74" s="10"/>
    </row>
    <row r="75" spans="1:9">
      <c r="A75" s="31" t="s">
        <v>14</v>
      </c>
      <c r="B75" s="31" t="s">
        <v>314</v>
      </c>
      <c r="C75" s="38"/>
      <c r="D75" s="38"/>
      <c r="E75" s="38"/>
      <c r="F75" s="38"/>
      <c r="G75" s="38"/>
      <c r="H75" s="38">
        <f t="shared" si="3"/>
        <v>0</v>
      </c>
      <c r="I75" s="10"/>
    </row>
    <row r="76" spans="1:9">
      <c r="A76" s="31" t="s">
        <v>15</v>
      </c>
      <c r="B76" s="31" t="s">
        <v>315</v>
      </c>
      <c r="C76" s="38"/>
      <c r="D76" s="38"/>
      <c r="E76" s="38"/>
      <c r="F76" s="38"/>
      <c r="G76" s="38"/>
      <c r="H76" s="38">
        <f t="shared" si="3"/>
        <v>0</v>
      </c>
      <c r="I76" s="10"/>
    </row>
    <row r="77" spans="1:9">
      <c r="A77" s="31" t="s">
        <v>16</v>
      </c>
      <c r="B77" s="31" t="s">
        <v>316</v>
      </c>
      <c r="C77" s="38"/>
      <c r="D77" s="38"/>
      <c r="E77" s="38"/>
      <c r="F77" s="38"/>
      <c r="G77" s="38"/>
      <c r="H77" s="38">
        <f t="shared" si="3"/>
        <v>0</v>
      </c>
      <c r="I77" s="10"/>
    </row>
    <row r="78" spans="1:9">
      <c r="A78" s="31" t="s">
        <v>17</v>
      </c>
      <c r="B78" s="31" t="s">
        <v>317</v>
      </c>
      <c r="C78" s="38"/>
      <c r="D78" s="223">
        <v>80016</v>
      </c>
      <c r="E78" s="223">
        <v>18822</v>
      </c>
      <c r="F78" s="223">
        <v>56472</v>
      </c>
      <c r="G78" s="38"/>
      <c r="H78" s="38">
        <f t="shared" si="3"/>
        <v>155310</v>
      </c>
      <c r="I78" s="10"/>
    </row>
    <row r="79" spans="1:9" ht="14.25" customHeight="1">
      <c r="A79" s="31" t="s">
        <v>18</v>
      </c>
      <c r="B79" s="31" t="s">
        <v>319</v>
      </c>
      <c r="C79" s="48"/>
      <c r="D79" s="224">
        <f>60237</f>
        <v>60237</v>
      </c>
      <c r="E79" s="225">
        <v>27062</v>
      </c>
      <c r="F79" s="225">
        <v>45566</v>
      </c>
      <c r="G79" s="38"/>
      <c r="H79" s="39">
        <f t="shared" si="3"/>
        <v>132865</v>
      </c>
      <c r="I79" s="10"/>
    </row>
    <row r="80" spans="1:9">
      <c r="B80" s="31" t="s">
        <v>24</v>
      </c>
      <c r="C80" s="38">
        <f>+SUM(C72:C79)</f>
        <v>64073.694254867296</v>
      </c>
      <c r="D80" s="38">
        <f>+SUM(D72:D79)</f>
        <v>140253</v>
      </c>
      <c r="E80" s="38">
        <f>+SUM(E72:E79)</f>
        <v>45884</v>
      </c>
      <c r="F80" s="38">
        <f>+SUM(F72:F79)</f>
        <v>102038</v>
      </c>
      <c r="G80" s="38"/>
      <c r="H80" s="38">
        <f t="shared" si="3"/>
        <v>352248.69425486727</v>
      </c>
      <c r="I80" s="10"/>
    </row>
    <row r="81" spans="1:8">
      <c r="C81" s="38"/>
      <c r="D81" s="38"/>
      <c r="E81" s="38"/>
      <c r="F81" s="38"/>
      <c r="G81" s="38"/>
      <c r="H81" s="38"/>
    </row>
    <row r="82" spans="1:8">
      <c r="C82" s="38"/>
      <c r="D82" s="38"/>
      <c r="E82" s="38"/>
      <c r="F82" s="38"/>
      <c r="G82" s="38"/>
      <c r="H82" s="38"/>
    </row>
    <row r="83" spans="1:8">
      <c r="A83" s="36" t="s">
        <v>322</v>
      </c>
      <c r="C83" s="38"/>
      <c r="D83" s="38"/>
      <c r="E83" s="38"/>
      <c r="F83" s="38"/>
      <c r="G83" s="38"/>
      <c r="H83" s="38"/>
    </row>
    <row r="84" spans="1:8">
      <c r="A84" s="31" t="s">
        <v>20</v>
      </c>
      <c r="B84" s="31" t="s">
        <v>321</v>
      </c>
      <c r="C84" s="38"/>
      <c r="D84" s="38"/>
      <c r="E84" s="38"/>
      <c r="F84" s="38"/>
      <c r="G84" s="38"/>
      <c r="H84" s="38">
        <f>+SUM(C84:G84)</f>
        <v>0</v>
      </c>
    </row>
    <row r="85" spans="1:8">
      <c r="A85" s="31" t="s">
        <v>21</v>
      </c>
      <c r="B85" s="31" t="s">
        <v>322</v>
      </c>
      <c r="C85" s="38"/>
      <c r="D85" s="38">
        <f>2000*D7</f>
        <v>12000</v>
      </c>
      <c r="E85" s="38">
        <f t="shared" ref="E85" si="4">2000*E7</f>
        <v>4000</v>
      </c>
      <c r="F85" s="223">
        <v>35000</v>
      </c>
      <c r="G85" s="38"/>
      <c r="H85" s="38">
        <f>+SUM(C85:G85)</f>
        <v>51000</v>
      </c>
    </row>
    <row r="86" spans="1:8">
      <c r="A86" s="31" t="s">
        <v>406</v>
      </c>
      <c r="B86" s="31" t="s">
        <v>407</v>
      </c>
      <c r="C86" s="38"/>
      <c r="D86" s="38"/>
      <c r="E86" s="38"/>
      <c r="F86" s="38"/>
      <c r="G86" s="38"/>
      <c r="H86" s="38">
        <f>+SUM(C86:G86)</f>
        <v>0</v>
      </c>
    </row>
    <row r="87" spans="1:8">
      <c r="A87" s="31" t="s">
        <v>22</v>
      </c>
      <c r="B87" s="31" t="s">
        <v>23</v>
      </c>
      <c r="C87" s="39"/>
      <c r="D87" s="39">
        <v>3000</v>
      </c>
      <c r="E87" s="39">
        <v>1000</v>
      </c>
      <c r="F87" s="39">
        <v>2500</v>
      </c>
      <c r="G87" s="38"/>
      <c r="H87" s="39">
        <f>+SUM(C87:G87)</f>
        <v>6500</v>
      </c>
    </row>
    <row r="88" spans="1:8">
      <c r="B88" s="31" t="s">
        <v>323</v>
      </c>
      <c r="C88" s="38">
        <f>+SUM(C84:C87)</f>
        <v>0</v>
      </c>
      <c r="D88" s="38">
        <f>+SUM(D84:D87)</f>
        <v>15000</v>
      </c>
      <c r="E88" s="38">
        <f>+SUM(E84:E87)</f>
        <v>5000</v>
      </c>
      <c r="F88" s="38">
        <f>+SUM(F84:F87)</f>
        <v>37500</v>
      </c>
      <c r="G88" s="38"/>
      <c r="H88" s="38">
        <f>+SUM(C88:G88)</f>
        <v>57500</v>
      </c>
    </row>
    <row r="89" spans="1:8">
      <c r="C89" s="38"/>
      <c r="D89" s="38"/>
      <c r="E89" s="38"/>
      <c r="F89" s="38"/>
      <c r="G89" s="38"/>
      <c r="H89" s="38"/>
    </row>
    <row r="90" spans="1:8">
      <c r="B90" s="31" t="s">
        <v>324</v>
      </c>
      <c r="C90" s="38">
        <f>+C80+C88</f>
        <v>64073.694254867296</v>
      </c>
      <c r="D90" s="38">
        <f t="shared" ref="D90:E90" si="5">+D80+D88</f>
        <v>155253</v>
      </c>
      <c r="E90" s="38">
        <f t="shared" si="5"/>
        <v>50884</v>
      </c>
      <c r="F90" s="38">
        <f t="shared" ref="F90" si="6">+F80+F88</f>
        <v>139538</v>
      </c>
      <c r="G90" s="38"/>
      <c r="H90" s="38">
        <f>+SUM(C90:G90)</f>
        <v>409748.69425486727</v>
      </c>
    </row>
    <row r="91" spans="1:8">
      <c r="C91" s="38"/>
      <c r="D91" s="38"/>
      <c r="E91" s="38"/>
      <c r="F91" s="38"/>
      <c r="G91" s="38"/>
      <c r="H91" s="38"/>
    </row>
    <row r="92" spans="1:8">
      <c r="A92" s="31" t="s">
        <v>325</v>
      </c>
      <c r="C92" s="38"/>
      <c r="D92" s="38"/>
      <c r="E92" s="38"/>
      <c r="F92" s="38"/>
      <c r="G92" s="38"/>
      <c r="H92" s="38"/>
    </row>
    <row r="93" spans="1:8">
      <c r="A93" s="31" t="s">
        <v>25</v>
      </c>
      <c r="B93" s="31" t="s">
        <v>33</v>
      </c>
      <c r="C93" s="38">
        <f>+C$7*139.64*2*1.05*12</f>
        <v>3518.9279999999999</v>
      </c>
      <c r="D93" s="38">
        <f>+D$7*139.64*2*1.05*12</f>
        <v>21113.567999999999</v>
      </c>
      <c r="E93" s="38">
        <f>+E$7*139.64*2*1.05*12</f>
        <v>7037.8559999999998</v>
      </c>
      <c r="F93" s="38">
        <f>+F$7*139.64*2*1.05*12</f>
        <v>17594.64</v>
      </c>
      <c r="G93" s="38"/>
      <c r="H93" s="38">
        <f t="shared" ref="H93:H101" si="7">+SUM(C93:G93)</f>
        <v>49264.991999999998</v>
      </c>
    </row>
    <row r="94" spans="1:8">
      <c r="A94" s="31" t="s">
        <v>26</v>
      </c>
      <c r="B94" s="31" t="s">
        <v>34</v>
      </c>
      <c r="C94" s="38">
        <f>+C$7*8.74*2*1.02*12</f>
        <v>213.95519999999999</v>
      </c>
      <c r="D94" s="38">
        <f>+D$7*8.74*2*1.02*12</f>
        <v>1283.7311999999999</v>
      </c>
      <c r="E94" s="38">
        <f>+E$7*8.74*2*1.02*12</f>
        <v>427.91039999999998</v>
      </c>
      <c r="F94" s="38">
        <f>+F$7*8.74*2*1.02*12</f>
        <v>1069.7760000000001</v>
      </c>
      <c r="G94" s="38"/>
      <c r="H94" s="38">
        <f t="shared" si="7"/>
        <v>2995.3728000000001</v>
      </c>
    </row>
    <row r="95" spans="1:8">
      <c r="A95" s="31" t="s">
        <v>28</v>
      </c>
      <c r="B95" s="31" t="s">
        <v>27</v>
      </c>
      <c r="C95" s="38">
        <f>(+C$88-C$84+C$80)*0.062</f>
        <v>3972.5690438017723</v>
      </c>
      <c r="D95" s="38">
        <f>(+D$88-D$84+D$80)*0.062</f>
        <v>9625.6859999999997</v>
      </c>
      <c r="E95" s="38">
        <f>(+E$88-E$84+E$80)*0.062</f>
        <v>3154.808</v>
      </c>
      <c r="F95" s="38">
        <f>(+F$88-F$84+F$80)*0.062</f>
        <v>8651.3559999999998</v>
      </c>
      <c r="G95" s="38"/>
      <c r="H95" s="38">
        <f t="shared" si="7"/>
        <v>25404.419043801772</v>
      </c>
    </row>
    <row r="96" spans="1:8">
      <c r="A96" s="31" t="s">
        <v>30</v>
      </c>
      <c r="B96" s="31" t="s">
        <v>29</v>
      </c>
      <c r="C96" s="38">
        <f>(+C$88-C$84+C$80)*0.0145</f>
        <v>929.06856669557578</v>
      </c>
      <c r="D96" s="38">
        <f>(+D$88-D$84+D$80)*0.0145</f>
        <v>2251.1685000000002</v>
      </c>
      <c r="E96" s="38">
        <f>(+E$88-E$84+E$80)*0.0145</f>
        <v>737.81799999999998</v>
      </c>
      <c r="F96" s="38">
        <f>(+F$88-F$84+F$80)*0.0145</f>
        <v>2023.3010000000002</v>
      </c>
      <c r="G96" s="38"/>
      <c r="H96" s="38">
        <f t="shared" si="7"/>
        <v>5941.3560666955764</v>
      </c>
    </row>
    <row r="97" spans="1:8">
      <c r="A97" s="31" t="s">
        <v>31</v>
      </c>
      <c r="B97" s="31" t="s">
        <v>32</v>
      </c>
      <c r="C97" s="38">
        <f>(+C$88-C$84+C$80)*0.06</f>
        <v>3844.4216552920375</v>
      </c>
      <c r="D97" s="38">
        <f>(+D$88-D$84+D$80)*0.06</f>
        <v>9315.18</v>
      </c>
      <c r="E97" s="38">
        <f>(+E$88-E$84+E$80)*0.06</f>
        <v>3053.04</v>
      </c>
      <c r="F97" s="38">
        <f>(+F$88-F$84+F$80)*0.06</f>
        <v>8372.2799999999988</v>
      </c>
      <c r="G97" s="38"/>
      <c r="H97" s="38">
        <f t="shared" si="7"/>
        <v>24584.921655292037</v>
      </c>
    </row>
    <row r="98" spans="1:8">
      <c r="A98" s="31" t="s">
        <v>36</v>
      </c>
      <c r="B98" s="31" t="s">
        <v>35</v>
      </c>
      <c r="C98" s="38">
        <f>(+C$88-C$84+C$80)*0.0056</f>
        <v>358.81268782725687</v>
      </c>
      <c r="D98" s="38">
        <f>(+D$88-D$84+D$80)*0.0056</f>
        <v>869.41679999999997</v>
      </c>
      <c r="E98" s="38">
        <f>(+E$88-E$84+E$80)*0.0056</f>
        <v>284.9504</v>
      </c>
      <c r="F98" s="38">
        <f>(+F$88-F$84+F$80)*0.0056</f>
        <v>781.41279999999995</v>
      </c>
      <c r="G98" s="38"/>
      <c r="H98" s="38">
        <f t="shared" si="7"/>
        <v>2294.5926878272567</v>
      </c>
    </row>
    <row r="99" spans="1:8">
      <c r="A99" s="31" t="s">
        <v>38</v>
      </c>
      <c r="B99" s="31" t="s">
        <v>37</v>
      </c>
      <c r="C99" s="38">
        <f>+C$7*7700*0.0201</f>
        <v>154.77000000000001</v>
      </c>
      <c r="D99" s="38">
        <f>+D$7*7700*0.0201</f>
        <v>928.62</v>
      </c>
      <c r="E99" s="38">
        <f>+E$7*7700*0.0201</f>
        <v>309.54000000000002</v>
      </c>
      <c r="F99" s="38">
        <f>+F$7*7700*0.0201</f>
        <v>773.85</v>
      </c>
      <c r="G99" s="38"/>
      <c r="H99" s="38">
        <f t="shared" si="7"/>
        <v>2166.7800000000002</v>
      </c>
    </row>
    <row r="100" spans="1:8">
      <c r="A100" s="31" t="s">
        <v>83</v>
      </c>
      <c r="B100" s="31" t="s">
        <v>84</v>
      </c>
      <c r="C100" s="38"/>
      <c r="D100" s="38"/>
      <c r="E100" s="38"/>
      <c r="F100" s="38"/>
      <c r="G100" s="38"/>
      <c r="H100" s="38">
        <f t="shared" si="7"/>
        <v>0</v>
      </c>
    </row>
    <row r="101" spans="1:8">
      <c r="A101" s="31" t="s">
        <v>39</v>
      </c>
      <c r="B101" s="31" t="s">
        <v>40</v>
      </c>
      <c r="C101" s="39">
        <f>(+C$88-C$84+C$80)*(0.0024+0.0036+0.0013)</f>
        <v>467.73796806053127</v>
      </c>
      <c r="D101" s="39">
        <f>(+D$88-D$84+D$80)*(0.0024+0.0036+0.0013)</f>
        <v>1133.3469</v>
      </c>
      <c r="E101" s="39">
        <f>(+E$88-E$84+E$80)*(0.0024+0.0036+0.0013)</f>
        <v>371.45319999999998</v>
      </c>
      <c r="F101" s="39">
        <f>(+F$88-F$84+F$80)*(0.0024+0.0036+0.0013)</f>
        <v>1018.6274</v>
      </c>
      <c r="G101" s="38"/>
      <c r="H101" s="39">
        <f t="shared" si="7"/>
        <v>2991.1654680605311</v>
      </c>
    </row>
    <row r="102" spans="1:8">
      <c r="B102" s="31" t="s">
        <v>234</v>
      </c>
      <c r="C102" s="38">
        <f>SUM(C93:C101)</f>
        <v>13460.263121677173</v>
      </c>
      <c r="D102" s="38">
        <f t="shared" ref="D102:H102" si="8">SUM(D93:D101)</f>
        <v>46520.717399999994</v>
      </c>
      <c r="E102" s="38">
        <f t="shared" si="8"/>
        <v>15377.375999999998</v>
      </c>
      <c r="F102" s="38">
        <f t="shared" si="8"/>
        <v>40285.243199999997</v>
      </c>
      <c r="G102" s="38"/>
      <c r="H102" s="38">
        <f t="shared" si="8"/>
        <v>115643.59972167716</v>
      </c>
    </row>
    <row r="103" spans="1:8">
      <c r="C103" s="38"/>
      <c r="D103" s="38"/>
      <c r="E103" s="38"/>
      <c r="F103" s="38"/>
      <c r="G103" s="38"/>
      <c r="H103" s="38"/>
    </row>
    <row r="104" spans="1:8" s="4" customFormat="1">
      <c r="A104" s="35"/>
      <c r="B104" s="35" t="s">
        <v>235</v>
      </c>
      <c r="C104" s="40">
        <f>SUM(C90+C102)</f>
        <v>77533.957376544466</v>
      </c>
      <c r="D104" s="40">
        <f t="shared" ref="D104:F104" si="9">SUM(D90+D102)</f>
        <v>201773.71739999999</v>
      </c>
      <c r="E104" s="40">
        <f t="shared" si="9"/>
        <v>66261.376000000004</v>
      </c>
      <c r="F104" s="40">
        <f t="shared" si="9"/>
        <v>179823.2432</v>
      </c>
      <c r="G104" s="40"/>
      <c r="H104" s="40">
        <f t="shared" ref="H104" si="10">SUM(H80+H90+H102)</f>
        <v>877640.98823141167</v>
      </c>
    </row>
    <row r="105" spans="1:8">
      <c r="C105" s="38"/>
      <c r="D105" s="38"/>
      <c r="E105" s="38"/>
      <c r="F105" s="38"/>
      <c r="G105" s="38"/>
      <c r="H105" s="38"/>
    </row>
    <row r="106" spans="1:8">
      <c r="A106" s="31" t="s">
        <v>236</v>
      </c>
      <c r="C106" s="38"/>
      <c r="D106" s="38"/>
      <c r="E106" s="38"/>
      <c r="F106" s="38"/>
      <c r="G106" s="38"/>
      <c r="H106" s="38"/>
    </row>
    <row r="107" spans="1:8">
      <c r="A107" s="31" t="s">
        <v>237</v>
      </c>
      <c r="C107" s="38"/>
      <c r="D107" s="38"/>
      <c r="E107" s="38"/>
      <c r="F107" s="38"/>
      <c r="G107" s="38"/>
      <c r="H107" s="38"/>
    </row>
    <row r="108" spans="1:8">
      <c r="A108" s="31" t="s">
        <v>51</v>
      </c>
      <c r="B108" s="31" t="s">
        <v>50</v>
      </c>
      <c r="C108" s="38">
        <v>24960</v>
      </c>
      <c r="D108" s="38"/>
      <c r="E108" s="38"/>
      <c r="F108" s="38"/>
      <c r="G108" s="38"/>
      <c r="H108" s="38">
        <f t="shared" ref="H108:H121" si="11">+SUM(C108:G108)</f>
        <v>24960</v>
      </c>
    </row>
    <row r="109" spans="1:8">
      <c r="A109" s="31" t="s">
        <v>41</v>
      </c>
      <c r="B109" s="31" t="s">
        <v>42</v>
      </c>
      <c r="C109" s="38"/>
      <c r="D109" s="38"/>
      <c r="E109" s="38"/>
      <c r="F109" s="38"/>
      <c r="G109" s="38"/>
      <c r="H109" s="38">
        <f t="shared" si="11"/>
        <v>0</v>
      </c>
    </row>
    <row r="110" spans="1:8">
      <c r="A110" s="31" t="s">
        <v>43</v>
      </c>
      <c r="B110" s="31" t="s">
        <v>238</v>
      </c>
      <c r="C110" s="38">
        <v>1500</v>
      </c>
      <c r="D110" s="38"/>
      <c r="E110" s="38"/>
      <c r="F110" s="38"/>
      <c r="G110" s="38"/>
      <c r="H110" s="38">
        <f t="shared" si="11"/>
        <v>1500</v>
      </c>
    </row>
    <row r="111" spans="1:8">
      <c r="A111" s="31" t="s">
        <v>44</v>
      </c>
      <c r="B111" s="31" t="s">
        <v>45</v>
      </c>
      <c r="C111" s="38"/>
      <c r="D111" s="38">
        <v>3000</v>
      </c>
      <c r="E111" s="38">
        <v>1000</v>
      </c>
      <c r="F111" s="38">
        <v>3000</v>
      </c>
      <c r="G111" s="38"/>
      <c r="H111" s="38">
        <f t="shared" si="11"/>
        <v>7000</v>
      </c>
    </row>
    <row r="112" spans="1:8">
      <c r="A112" s="31" t="s">
        <v>46</v>
      </c>
      <c r="B112" s="31" t="s">
        <v>239</v>
      </c>
      <c r="C112" s="38"/>
      <c r="D112" s="38"/>
      <c r="E112" s="38"/>
      <c r="F112" s="38"/>
      <c r="G112" s="38"/>
      <c r="H112" s="38">
        <f t="shared" si="11"/>
        <v>0</v>
      </c>
    </row>
    <row r="113" spans="1:8">
      <c r="A113" s="31" t="s">
        <v>47</v>
      </c>
      <c r="B113" s="31" t="s">
        <v>240</v>
      </c>
      <c r="C113" s="38"/>
      <c r="D113" s="38"/>
      <c r="E113" s="38"/>
      <c r="F113" s="38"/>
      <c r="G113" s="38"/>
      <c r="H113" s="38">
        <f t="shared" si="11"/>
        <v>0</v>
      </c>
    </row>
    <row r="114" spans="1:8">
      <c r="A114" s="31" t="s">
        <v>48</v>
      </c>
      <c r="B114" s="31" t="s">
        <v>49</v>
      </c>
      <c r="C114" s="38"/>
      <c r="D114" s="38">
        <v>9500</v>
      </c>
      <c r="E114" s="38">
        <v>4300</v>
      </c>
      <c r="F114" s="38">
        <v>9500</v>
      </c>
      <c r="G114" s="38"/>
      <c r="H114" s="38">
        <f t="shared" si="11"/>
        <v>23300</v>
      </c>
    </row>
    <row r="115" spans="1:8">
      <c r="A115" s="31" t="s">
        <v>82</v>
      </c>
      <c r="B115" s="31" t="s">
        <v>166</v>
      </c>
      <c r="C115" s="38"/>
      <c r="D115" s="38"/>
      <c r="E115" s="38"/>
      <c r="F115" s="38"/>
      <c r="G115" s="38"/>
      <c r="H115" s="38">
        <f t="shared" si="11"/>
        <v>0</v>
      </c>
    </row>
    <row r="116" spans="1:8">
      <c r="A116" s="31" t="s">
        <v>104</v>
      </c>
      <c r="B116" s="31" t="s">
        <v>103</v>
      </c>
      <c r="C116" s="38"/>
      <c r="D116" s="38"/>
      <c r="E116" s="38"/>
      <c r="F116" s="38"/>
      <c r="G116" s="38"/>
      <c r="H116" s="38">
        <f t="shared" si="11"/>
        <v>0</v>
      </c>
    </row>
    <row r="117" spans="1:8">
      <c r="A117" s="31" t="s">
        <v>59</v>
      </c>
      <c r="B117" s="31" t="s">
        <v>318</v>
      </c>
      <c r="C117" s="38"/>
      <c r="D117" s="38">
        <v>2000</v>
      </c>
      <c r="E117" s="38">
        <v>1000</v>
      </c>
      <c r="F117" s="38">
        <v>3000</v>
      </c>
      <c r="G117" s="38"/>
      <c r="H117" s="38">
        <f t="shared" si="11"/>
        <v>6000</v>
      </c>
    </row>
    <row r="118" spans="1:8">
      <c r="A118" s="31" t="s">
        <v>87</v>
      </c>
      <c r="B118" s="31" t="s">
        <v>88</v>
      </c>
      <c r="C118" s="38"/>
      <c r="D118" s="38"/>
      <c r="E118" s="38"/>
      <c r="F118" s="38"/>
      <c r="G118" s="38"/>
      <c r="H118" s="38">
        <f t="shared" si="11"/>
        <v>0</v>
      </c>
    </row>
    <row r="119" spans="1:8">
      <c r="A119" s="31" t="s">
        <v>89</v>
      </c>
      <c r="B119" s="31" t="s">
        <v>90</v>
      </c>
      <c r="C119" s="38"/>
      <c r="D119" s="38"/>
      <c r="E119" s="38"/>
      <c r="F119" s="38"/>
      <c r="G119" s="38"/>
      <c r="H119" s="38">
        <f t="shared" si="11"/>
        <v>0</v>
      </c>
    </row>
    <row r="120" spans="1:8">
      <c r="A120" s="31" t="s">
        <v>413</v>
      </c>
      <c r="B120" s="31" t="s">
        <v>414</v>
      </c>
      <c r="C120" s="38"/>
      <c r="D120" s="38"/>
      <c r="E120" s="38"/>
      <c r="F120" s="38"/>
      <c r="G120" s="38"/>
      <c r="H120" s="38">
        <f t="shared" si="11"/>
        <v>0</v>
      </c>
    </row>
    <row r="121" spans="1:8">
      <c r="A121" s="31" t="s">
        <v>52</v>
      </c>
      <c r="B121" s="31" t="s">
        <v>53</v>
      </c>
      <c r="C121" s="39"/>
      <c r="D121" s="39"/>
      <c r="E121" s="39"/>
      <c r="F121" s="39"/>
      <c r="G121" s="38"/>
      <c r="H121" s="39">
        <f t="shared" si="11"/>
        <v>0</v>
      </c>
    </row>
    <row r="122" spans="1:8">
      <c r="B122" s="31" t="s">
        <v>241</v>
      </c>
      <c r="C122" s="38">
        <f>SUM(C108:C121)</f>
        <v>26460</v>
      </c>
      <c r="D122" s="38">
        <f t="shared" ref="D122:H122" si="12">SUM(D108:D121)</f>
        <v>14500</v>
      </c>
      <c r="E122" s="38">
        <f t="shared" si="12"/>
        <v>6300</v>
      </c>
      <c r="F122" s="38">
        <f t="shared" si="12"/>
        <v>15500</v>
      </c>
      <c r="G122" s="38"/>
      <c r="H122" s="38">
        <f t="shared" si="12"/>
        <v>62760</v>
      </c>
    </row>
    <row r="123" spans="1:8">
      <c r="C123" s="38"/>
      <c r="D123" s="38"/>
      <c r="E123" s="38"/>
      <c r="F123" s="38"/>
      <c r="G123" s="38"/>
      <c r="H123" s="38"/>
    </row>
    <row r="124" spans="1:8">
      <c r="A124" s="31" t="s">
        <v>242</v>
      </c>
      <c r="C124" s="38"/>
      <c r="D124" s="38"/>
      <c r="E124" s="38"/>
      <c r="F124" s="38"/>
      <c r="G124" s="38"/>
      <c r="H124" s="38"/>
    </row>
    <row r="125" spans="1:8">
      <c r="A125" s="31" t="s">
        <v>56</v>
      </c>
      <c r="B125" s="31" t="s">
        <v>245</v>
      </c>
      <c r="C125" s="38"/>
      <c r="D125" s="38">
        <v>8000</v>
      </c>
      <c r="E125" s="38">
        <v>6000</v>
      </c>
      <c r="F125" s="38">
        <v>5000</v>
      </c>
      <c r="G125" s="38"/>
      <c r="H125" s="38">
        <f t="shared" ref="H125:H132" si="13">+SUM(C125:G125)</f>
        <v>19000</v>
      </c>
    </row>
    <row r="126" spans="1:8">
      <c r="A126" s="31" t="s">
        <v>57</v>
      </c>
      <c r="B126" s="31" t="s">
        <v>246</v>
      </c>
      <c r="C126" s="38"/>
      <c r="D126" s="38">
        <v>6000</v>
      </c>
      <c r="E126" s="38">
        <f>400*12</f>
        <v>4800</v>
      </c>
      <c r="F126" s="38">
        <f>400*12</f>
        <v>4800</v>
      </c>
      <c r="G126" s="38"/>
      <c r="H126" s="38">
        <f t="shared" si="13"/>
        <v>15600</v>
      </c>
    </row>
    <row r="127" spans="1:8">
      <c r="A127" s="31" t="s">
        <v>58</v>
      </c>
      <c r="B127" s="31" t="s">
        <v>247</v>
      </c>
      <c r="C127" s="38"/>
      <c r="D127" s="38">
        <v>300</v>
      </c>
      <c r="E127" s="38">
        <v>300</v>
      </c>
      <c r="F127" s="38">
        <v>300</v>
      </c>
      <c r="G127" s="38"/>
      <c r="H127" s="38">
        <f t="shared" si="13"/>
        <v>900</v>
      </c>
    </row>
    <row r="128" spans="1:8">
      <c r="A128" s="31" t="s">
        <v>55</v>
      </c>
      <c r="B128" s="31" t="s">
        <v>244</v>
      </c>
      <c r="C128" s="38"/>
      <c r="D128" s="38">
        <v>7250</v>
      </c>
      <c r="E128" s="38">
        <v>4000</v>
      </c>
      <c r="F128" s="38">
        <v>7250</v>
      </c>
      <c r="G128" s="38"/>
      <c r="H128" s="38">
        <f t="shared" si="13"/>
        <v>18500</v>
      </c>
    </row>
    <row r="129" spans="1:8" ht="10.5" customHeight="1">
      <c r="A129" s="31" t="s">
        <v>54</v>
      </c>
      <c r="B129" s="31" t="s">
        <v>243</v>
      </c>
      <c r="C129" s="38"/>
      <c r="D129" s="38">
        <v>50000</v>
      </c>
      <c r="E129" s="38">
        <v>3000</v>
      </c>
      <c r="F129" s="38">
        <v>50000</v>
      </c>
      <c r="G129" s="38"/>
      <c r="H129" s="38">
        <f t="shared" si="13"/>
        <v>103000</v>
      </c>
    </row>
    <row r="130" spans="1:8">
      <c r="A130" s="31" t="s">
        <v>60</v>
      </c>
      <c r="B130" s="31" t="s">
        <v>61</v>
      </c>
      <c r="C130" s="38">
        <v>2000</v>
      </c>
      <c r="D130" s="38">
        <v>47274</v>
      </c>
      <c r="E130" s="38">
        <v>16000</v>
      </c>
      <c r="F130" s="38">
        <v>15000</v>
      </c>
      <c r="G130" s="38"/>
      <c r="H130" s="38">
        <f t="shared" si="13"/>
        <v>80274</v>
      </c>
    </row>
    <row r="131" spans="1:8">
      <c r="A131" s="31" t="s">
        <v>411</v>
      </c>
      <c r="B131" s="31" t="s">
        <v>412</v>
      </c>
      <c r="C131" s="38"/>
      <c r="D131" s="38">
        <f>610*SUM(B4:B5)+SUM(12*5319)</f>
        <v>454228</v>
      </c>
      <c r="E131" s="38">
        <v>131920</v>
      </c>
      <c r="F131" s="38">
        <f>610*SUM!B7</f>
        <v>244000</v>
      </c>
      <c r="G131" s="38"/>
      <c r="H131" s="38">
        <f t="shared" si="13"/>
        <v>830148</v>
      </c>
    </row>
    <row r="132" spans="1:8">
      <c r="A132" s="31" t="s">
        <v>62</v>
      </c>
      <c r="B132" s="31" t="s">
        <v>248</v>
      </c>
      <c r="C132" s="39"/>
      <c r="D132" s="39">
        <v>2000</v>
      </c>
      <c r="E132" s="39">
        <v>1500</v>
      </c>
      <c r="F132" s="39">
        <v>2000</v>
      </c>
      <c r="G132" s="38"/>
      <c r="H132" s="39">
        <f t="shared" si="13"/>
        <v>5500</v>
      </c>
    </row>
    <row r="133" spans="1:8">
      <c r="B133" s="31" t="s">
        <v>249</v>
      </c>
      <c r="C133" s="38">
        <f>SUM(C125:C132)</f>
        <v>2000</v>
      </c>
      <c r="D133" s="38">
        <f t="shared" ref="D133:H133" si="14">SUM(D125:D132)</f>
        <v>575052</v>
      </c>
      <c r="E133" s="38">
        <f t="shared" si="14"/>
        <v>167520</v>
      </c>
      <c r="F133" s="38">
        <f t="shared" si="14"/>
        <v>328350</v>
      </c>
      <c r="G133" s="38"/>
      <c r="H133" s="38">
        <f t="shared" si="14"/>
        <v>1072922</v>
      </c>
    </row>
    <row r="134" spans="1:8">
      <c r="C134" s="38"/>
      <c r="D134" s="38"/>
      <c r="E134" s="38"/>
      <c r="F134" s="38"/>
      <c r="G134" s="38"/>
      <c r="H134" s="38"/>
    </row>
    <row r="135" spans="1:8">
      <c r="A135" s="31" t="s">
        <v>250</v>
      </c>
      <c r="C135" s="38"/>
      <c r="D135" s="38"/>
      <c r="E135" s="38"/>
      <c r="F135" s="38"/>
      <c r="G135" s="38"/>
      <c r="H135" s="38"/>
    </row>
    <row r="136" spans="1:8">
      <c r="A136" s="31" t="s">
        <v>251</v>
      </c>
      <c r="C136" s="38"/>
      <c r="D136" s="38"/>
      <c r="E136" s="38"/>
      <c r="F136" s="38"/>
      <c r="G136" s="38"/>
      <c r="H136" s="38"/>
    </row>
    <row r="137" spans="1:8">
      <c r="A137" s="31" t="s">
        <v>63</v>
      </c>
      <c r="B137" s="31" t="s">
        <v>252</v>
      </c>
      <c r="C137" s="38"/>
      <c r="D137" s="38">
        <f>107*SUM!B4</f>
        <v>68480</v>
      </c>
      <c r="E137" s="38"/>
      <c r="F137" s="38">
        <f>107*SUM!B7</f>
        <v>42800</v>
      </c>
      <c r="G137" s="38"/>
      <c r="H137" s="38">
        <f>+SUM(C137:G137)</f>
        <v>111280</v>
      </c>
    </row>
    <row r="138" spans="1:8">
      <c r="A138" s="31" t="s">
        <v>64</v>
      </c>
      <c r="B138" s="31" t="s">
        <v>253</v>
      </c>
      <c r="C138" s="38"/>
      <c r="D138" s="38">
        <f>50273*1.05</f>
        <v>52786.65</v>
      </c>
      <c r="E138" s="52">
        <f>SUM(D138/SUM!B4*SUM!B6)</f>
        <v>17733.015234375001</v>
      </c>
      <c r="F138" s="52">
        <f>SUM(D138/SUM!B4*SUM!B7)</f>
        <v>32991.65625</v>
      </c>
      <c r="G138" s="38"/>
      <c r="H138" s="38">
        <f>+SUM(C138:G138)</f>
        <v>103511.321484375</v>
      </c>
    </row>
    <row r="139" spans="1:8">
      <c r="A139" s="31" t="s">
        <v>417</v>
      </c>
      <c r="B139" s="31" t="s">
        <v>418</v>
      </c>
      <c r="C139" s="38">
        <f>3425*1.05</f>
        <v>3596.25</v>
      </c>
      <c r="D139" s="38"/>
      <c r="E139" s="38"/>
      <c r="F139" s="38"/>
      <c r="G139" s="38"/>
      <c r="H139" s="38">
        <f>+SUM(C139:G139)</f>
        <v>3596.25</v>
      </c>
    </row>
    <row r="140" spans="1:8">
      <c r="A140" s="31" t="s">
        <v>65</v>
      </c>
      <c r="B140" s="31" t="s">
        <v>254</v>
      </c>
      <c r="C140" s="39"/>
      <c r="D140" s="39"/>
      <c r="E140" s="39"/>
      <c r="F140" s="39"/>
      <c r="G140" s="38"/>
      <c r="H140" s="39">
        <f>+SUM(C140:G140)</f>
        <v>0</v>
      </c>
    </row>
    <row r="141" spans="1:8">
      <c r="B141" s="31" t="s">
        <v>255</v>
      </c>
      <c r="C141" s="38">
        <f>SUM(C137:C140)</f>
        <v>3596.25</v>
      </c>
      <c r="D141" s="38">
        <f t="shared" ref="D141:H141" si="15">SUM(D137:D140)</f>
        <v>121266.65</v>
      </c>
      <c r="E141" s="38">
        <f t="shared" si="15"/>
        <v>17733.015234375001</v>
      </c>
      <c r="F141" s="38">
        <f t="shared" si="15"/>
        <v>75791.65625</v>
      </c>
      <c r="G141" s="38"/>
      <c r="H141" s="38">
        <f t="shared" si="15"/>
        <v>218387.57148437499</v>
      </c>
    </row>
    <row r="142" spans="1:8">
      <c r="C142" s="38"/>
      <c r="D142" s="38"/>
      <c r="E142" s="38"/>
      <c r="F142" s="38"/>
      <c r="G142" s="38"/>
      <c r="H142" s="38"/>
    </row>
    <row r="143" spans="1:8">
      <c r="A143" s="31" t="s">
        <v>256</v>
      </c>
      <c r="C143" s="38"/>
      <c r="D143" s="38"/>
      <c r="E143" s="38"/>
      <c r="F143" s="38"/>
      <c r="G143" s="38"/>
      <c r="H143" s="38"/>
    </row>
    <row r="144" spans="1:8">
      <c r="A144" s="31" t="s">
        <v>66</v>
      </c>
      <c r="B144" s="31" t="s">
        <v>257</v>
      </c>
      <c r="C144" s="38"/>
      <c r="D144" s="38"/>
      <c r="E144" s="38"/>
      <c r="F144" s="38"/>
      <c r="G144" s="38"/>
      <c r="H144" s="38">
        <f t="shared" ref="H144:H149" si="16">+SUM(C144:G144)</f>
        <v>0</v>
      </c>
    </row>
    <row r="145" spans="1:8">
      <c r="A145" s="31" t="s">
        <v>67</v>
      </c>
      <c r="B145" s="31" t="s">
        <v>258</v>
      </c>
      <c r="C145" s="38"/>
      <c r="D145" s="38"/>
      <c r="E145" s="38"/>
      <c r="F145" s="38"/>
      <c r="G145" s="38"/>
      <c r="H145" s="38">
        <f t="shared" si="16"/>
        <v>0</v>
      </c>
    </row>
    <row r="146" spans="1:8">
      <c r="A146" s="31" t="s">
        <v>68</v>
      </c>
      <c r="B146" s="31" t="s">
        <v>259</v>
      </c>
      <c r="C146" s="38">
        <f>65*12</f>
        <v>780</v>
      </c>
      <c r="D146" s="38">
        <f>55*12</f>
        <v>660</v>
      </c>
      <c r="E146" s="38">
        <f>55*12</f>
        <v>660</v>
      </c>
      <c r="F146" s="38">
        <f>55*12</f>
        <v>660</v>
      </c>
      <c r="G146" s="38"/>
      <c r="H146" s="38">
        <f t="shared" si="16"/>
        <v>2760</v>
      </c>
    </row>
    <row r="147" spans="1:8">
      <c r="A147" s="31" t="s">
        <v>69</v>
      </c>
      <c r="B147" s="31" t="s">
        <v>260</v>
      </c>
      <c r="C147" s="38"/>
      <c r="D147" s="38"/>
      <c r="E147" s="38"/>
      <c r="F147" s="38"/>
      <c r="G147" s="38"/>
      <c r="H147" s="38">
        <f t="shared" si="16"/>
        <v>0</v>
      </c>
    </row>
    <row r="148" spans="1:8" ht="12" customHeight="1">
      <c r="A148" s="31" t="s">
        <v>70</v>
      </c>
      <c r="B148" s="31" t="s">
        <v>261</v>
      </c>
      <c r="C148" s="38"/>
      <c r="D148" s="38"/>
      <c r="E148" s="38"/>
      <c r="F148" s="38"/>
      <c r="G148" s="38"/>
      <c r="H148" s="38">
        <f t="shared" si="16"/>
        <v>0</v>
      </c>
    </row>
    <row r="149" spans="1:8">
      <c r="A149" s="31" t="s">
        <v>425</v>
      </c>
      <c r="B149" s="31" t="s">
        <v>427</v>
      </c>
      <c r="C149" s="39"/>
      <c r="D149" s="39"/>
      <c r="E149" s="39"/>
      <c r="F149" s="39"/>
      <c r="G149" s="38"/>
      <c r="H149" s="39">
        <f t="shared" si="16"/>
        <v>0</v>
      </c>
    </row>
    <row r="150" spans="1:8">
      <c r="B150" s="31" t="s">
        <v>262</v>
      </c>
      <c r="C150" s="38">
        <f>SUM(C144:C149)</f>
        <v>780</v>
      </c>
      <c r="D150" s="38">
        <f t="shared" ref="D150:H150" si="17">SUM(D144:D149)</f>
        <v>660</v>
      </c>
      <c r="E150" s="38">
        <f t="shared" si="17"/>
        <v>660</v>
      </c>
      <c r="F150" s="38">
        <f t="shared" si="17"/>
        <v>660</v>
      </c>
      <c r="G150" s="38"/>
      <c r="H150" s="38">
        <f t="shared" si="17"/>
        <v>2760</v>
      </c>
    </row>
    <row r="151" spans="1:8">
      <c r="C151" s="38"/>
      <c r="D151" s="38"/>
      <c r="E151" s="38"/>
      <c r="F151" s="38"/>
      <c r="G151" s="38"/>
      <c r="H151" s="38"/>
    </row>
    <row r="152" spans="1:8">
      <c r="A152" s="31" t="s">
        <v>263</v>
      </c>
      <c r="C152" s="38"/>
      <c r="D152" s="38"/>
      <c r="E152" s="38"/>
      <c r="F152" s="38"/>
      <c r="G152" s="38"/>
      <c r="H152" s="38"/>
    </row>
    <row r="153" spans="1:8">
      <c r="A153" s="31" t="s">
        <v>264</v>
      </c>
      <c r="C153" s="38"/>
      <c r="D153" s="38"/>
      <c r="E153" s="38"/>
      <c r="F153" s="38"/>
      <c r="G153" s="38"/>
      <c r="H153" s="38"/>
    </row>
    <row r="154" spans="1:8">
      <c r="A154" s="31" t="s">
        <v>71</v>
      </c>
      <c r="B154" s="31" t="s">
        <v>72</v>
      </c>
      <c r="C154" s="39">
        <v>2000</v>
      </c>
      <c r="D154" s="39">
        <v>500</v>
      </c>
      <c r="E154" s="39">
        <v>500</v>
      </c>
      <c r="F154" s="39">
        <v>500</v>
      </c>
      <c r="G154" s="38"/>
      <c r="H154" s="39">
        <f>+SUM(C154:G154)</f>
        <v>3500</v>
      </c>
    </row>
    <row r="155" spans="1:8">
      <c r="B155" s="31" t="s">
        <v>265</v>
      </c>
      <c r="C155" s="38">
        <f>SUM(C154)</f>
        <v>2000</v>
      </c>
      <c r="D155" s="38">
        <f t="shared" ref="D155:H155" si="18">SUM(D154)</f>
        <v>500</v>
      </c>
      <c r="E155" s="38">
        <f t="shared" si="18"/>
        <v>500</v>
      </c>
      <c r="F155" s="38">
        <f t="shared" si="18"/>
        <v>500</v>
      </c>
      <c r="G155" s="38"/>
      <c r="H155" s="38">
        <f t="shared" si="18"/>
        <v>3500</v>
      </c>
    </row>
    <row r="156" spans="1:8">
      <c r="C156" s="38"/>
      <c r="D156" s="38"/>
      <c r="E156" s="38"/>
      <c r="F156" s="38"/>
      <c r="G156" s="38"/>
      <c r="H156" s="38"/>
    </row>
    <row r="157" spans="1:8">
      <c r="A157" s="31" t="s">
        <v>266</v>
      </c>
      <c r="C157" s="38"/>
      <c r="D157" s="38"/>
      <c r="E157" s="38"/>
      <c r="F157" s="38"/>
      <c r="G157" s="38"/>
      <c r="H157" s="38"/>
    </row>
    <row r="158" spans="1:8">
      <c r="A158" s="31" t="s">
        <v>73</v>
      </c>
      <c r="B158" s="31" t="s">
        <v>74</v>
      </c>
      <c r="C158" s="38">
        <v>1200</v>
      </c>
      <c r="D158" s="21">
        <v>40000</v>
      </c>
      <c r="E158" s="21">
        <v>17551</v>
      </c>
      <c r="F158" s="21">
        <v>40000</v>
      </c>
      <c r="G158" s="38"/>
      <c r="H158" s="38">
        <f t="shared" ref="H158:H170" si="19">+SUM(C158:G158)</f>
        <v>98751</v>
      </c>
    </row>
    <row r="159" spans="1:8">
      <c r="A159" s="31" t="s">
        <v>75</v>
      </c>
      <c r="B159" s="31" t="s">
        <v>154</v>
      </c>
      <c r="C159" s="38">
        <v>1500</v>
      </c>
      <c r="D159" s="21">
        <v>500</v>
      </c>
      <c r="E159" s="21">
        <v>500</v>
      </c>
      <c r="F159" s="21">
        <v>500</v>
      </c>
      <c r="G159" s="38"/>
      <c r="H159" s="38">
        <f t="shared" si="19"/>
        <v>3000</v>
      </c>
    </row>
    <row r="160" spans="1:8">
      <c r="A160" s="31" t="s">
        <v>442</v>
      </c>
      <c r="B160" s="31" t="s">
        <v>97</v>
      </c>
      <c r="C160" s="38"/>
      <c r="D160" s="21">
        <v>25000</v>
      </c>
      <c r="E160" s="21">
        <v>15000</v>
      </c>
      <c r="F160" s="21">
        <v>100000</v>
      </c>
      <c r="G160" s="38"/>
      <c r="H160" s="38">
        <f t="shared" si="19"/>
        <v>140000</v>
      </c>
    </row>
    <row r="161" spans="1:8">
      <c r="A161" s="31" t="s">
        <v>443</v>
      </c>
      <c r="B161" s="31" t="s">
        <v>421</v>
      </c>
      <c r="C161" s="38"/>
      <c r="D161" s="21"/>
      <c r="E161" s="21"/>
      <c r="F161" s="21"/>
      <c r="G161" s="38"/>
      <c r="H161" s="38">
        <f t="shared" si="19"/>
        <v>0</v>
      </c>
    </row>
    <row r="162" spans="1:8">
      <c r="A162" s="31" t="s">
        <v>444</v>
      </c>
      <c r="B162" s="31" t="s">
        <v>423</v>
      </c>
      <c r="C162" s="38">
        <v>1000</v>
      </c>
      <c r="D162" s="21"/>
      <c r="E162" s="21"/>
      <c r="F162" s="21"/>
      <c r="G162" s="38"/>
      <c r="H162" s="38">
        <f t="shared" si="19"/>
        <v>1000</v>
      </c>
    </row>
    <row r="163" spans="1:8">
      <c r="A163" s="31" t="s">
        <v>445</v>
      </c>
      <c r="B163" s="31" t="s">
        <v>416</v>
      </c>
      <c r="C163" s="38">
        <v>7000</v>
      </c>
      <c r="D163" s="21"/>
      <c r="E163" s="21"/>
      <c r="F163" s="21"/>
      <c r="G163" s="38"/>
      <c r="H163" s="38">
        <f t="shared" si="19"/>
        <v>7000</v>
      </c>
    </row>
    <row r="164" spans="1:8">
      <c r="A164" s="31" t="s">
        <v>76</v>
      </c>
      <c r="B164" s="31" t="s">
        <v>155</v>
      </c>
      <c r="C164" s="38"/>
      <c r="D164" s="21"/>
      <c r="E164" s="21"/>
      <c r="F164" s="21"/>
      <c r="G164" s="38"/>
      <c r="H164" s="38">
        <f t="shared" si="19"/>
        <v>0</v>
      </c>
    </row>
    <row r="165" spans="1:8">
      <c r="A165" s="31" t="s">
        <v>79</v>
      </c>
      <c r="B165" s="31" t="s">
        <v>156</v>
      </c>
      <c r="C165" s="38"/>
      <c r="D165" s="21"/>
      <c r="E165" s="21"/>
      <c r="F165" s="21"/>
      <c r="G165" s="38"/>
      <c r="H165" s="38">
        <f t="shared" si="19"/>
        <v>0</v>
      </c>
    </row>
    <row r="166" spans="1:8">
      <c r="A166" s="31" t="s">
        <v>78</v>
      </c>
      <c r="B166" s="31" t="s">
        <v>157</v>
      </c>
      <c r="C166" s="38"/>
      <c r="D166" s="21"/>
      <c r="E166" s="21"/>
      <c r="F166" s="21"/>
      <c r="G166" s="38"/>
      <c r="H166" s="38">
        <f t="shared" si="19"/>
        <v>0</v>
      </c>
    </row>
    <row r="167" spans="1:8">
      <c r="A167" s="31" t="s">
        <v>77</v>
      </c>
      <c r="B167" s="31" t="s">
        <v>158</v>
      </c>
      <c r="C167" s="38"/>
      <c r="D167" s="21"/>
      <c r="E167" s="21"/>
      <c r="F167" s="21"/>
      <c r="G167" s="38"/>
      <c r="H167" s="38">
        <f t="shared" si="19"/>
        <v>0</v>
      </c>
    </row>
    <row r="168" spans="1:8">
      <c r="A168" s="31" t="s">
        <v>80</v>
      </c>
      <c r="B168" s="31" t="s">
        <v>159</v>
      </c>
      <c r="C168" s="38"/>
      <c r="D168" s="21"/>
      <c r="E168" s="21"/>
      <c r="F168" s="21"/>
      <c r="G168" s="38"/>
      <c r="H168" s="38">
        <f t="shared" si="19"/>
        <v>0</v>
      </c>
    </row>
    <row r="169" spans="1:8">
      <c r="A169" s="31" t="s">
        <v>81</v>
      </c>
      <c r="B169" s="31" t="s">
        <v>160</v>
      </c>
      <c r="C169" s="38"/>
      <c r="D169" s="21"/>
      <c r="E169" s="21"/>
      <c r="F169" s="21"/>
      <c r="G169" s="38"/>
      <c r="H169" s="38">
        <f t="shared" si="19"/>
        <v>0</v>
      </c>
    </row>
    <row r="170" spans="1:8">
      <c r="A170" s="31" t="s">
        <v>161</v>
      </c>
      <c r="B170" s="31" t="s">
        <v>162</v>
      </c>
      <c r="C170" s="39"/>
      <c r="D170" s="20"/>
      <c r="E170" s="20"/>
      <c r="F170" s="20"/>
      <c r="G170" s="38"/>
      <c r="H170" s="39">
        <f t="shared" si="19"/>
        <v>0</v>
      </c>
    </row>
    <row r="171" spans="1:8">
      <c r="B171" s="31" t="s">
        <v>163</v>
      </c>
      <c r="C171" s="38">
        <f>SUM(C158:C170)</f>
        <v>10700</v>
      </c>
      <c r="D171" s="38">
        <f t="shared" ref="D171:F171" si="20">SUM(D158:D170)</f>
        <v>65500</v>
      </c>
      <c r="E171" s="38">
        <f t="shared" si="20"/>
        <v>33051</v>
      </c>
      <c r="F171" s="38">
        <f t="shared" si="20"/>
        <v>140500</v>
      </c>
      <c r="G171" s="38"/>
      <c r="H171" s="38">
        <f>SUM(H158:H170)</f>
        <v>249751</v>
      </c>
    </row>
    <row r="172" spans="1:8">
      <c r="C172" s="38"/>
      <c r="D172" s="38"/>
      <c r="E172" s="38"/>
      <c r="F172" s="38"/>
      <c r="G172" s="38"/>
      <c r="H172" s="38"/>
    </row>
    <row r="173" spans="1:8">
      <c r="A173" s="31" t="s">
        <v>164</v>
      </c>
      <c r="C173" s="38"/>
      <c r="D173" s="38"/>
      <c r="E173" s="38"/>
      <c r="F173" s="38"/>
      <c r="G173" s="38"/>
      <c r="H173" s="38"/>
    </row>
    <row r="174" spans="1:8">
      <c r="A174" s="31" t="s">
        <v>165</v>
      </c>
      <c r="C174" s="38"/>
      <c r="D174" s="38"/>
      <c r="E174" s="38"/>
      <c r="F174" s="38"/>
      <c r="G174" s="38"/>
      <c r="H174" s="38"/>
    </row>
    <row r="175" spans="1:8">
      <c r="A175" s="31" t="s">
        <v>86</v>
      </c>
      <c r="B175" s="31" t="s">
        <v>85</v>
      </c>
      <c r="C175" s="38"/>
      <c r="D175" s="38">
        <v>1000</v>
      </c>
      <c r="E175" s="38">
        <v>500</v>
      </c>
      <c r="F175" s="38">
        <v>1000</v>
      </c>
      <c r="G175" s="38"/>
      <c r="H175" s="38">
        <f t="shared" ref="H175:H185" si="21">+SUM(C175:G175)</f>
        <v>2500</v>
      </c>
    </row>
    <row r="176" spans="1:8">
      <c r="A176" s="31" t="s">
        <v>91</v>
      </c>
      <c r="B176" s="31" t="s">
        <v>92</v>
      </c>
      <c r="C176" s="38"/>
      <c r="D176" s="38">
        <v>210000</v>
      </c>
      <c r="E176" s="38"/>
      <c r="F176" s="38"/>
      <c r="G176" s="38"/>
      <c r="H176" s="38">
        <f t="shared" si="21"/>
        <v>210000</v>
      </c>
    </row>
    <row r="177" spans="1:8">
      <c r="A177" s="31" t="s">
        <v>93</v>
      </c>
      <c r="B177" s="31" t="s">
        <v>94</v>
      </c>
      <c r="C177" s="38"/>
      <c r="D177" s="38"/>
      <c r="E177" s="38"/>
      <c r="F177" s="38">
        <v>30000</v>
      </c>
      <c r="G177" s="38"/>
      <c r="H177" s="38">
        <f t="shared" si="21"/>
        <v>30000</v>
      </c>
    </row>
    <row r="178" spans="1:8">
      <c r="A178" s="31" t="s">
        <v>95</v>
      </c>
      <c r="B178" s="31" t="s">
        <v>405</v>
      </c>
      <c r="C178" s="38"/>
      <c r="D178" s="38"/>
      <c r="E178" s="38"/>
      <c r="F178" s="38"/>
      <c r="G178" s="38"/>
      <c r="H178" s="38">
        <f t="shared" si="21"/>
        <v>0</v>
      </c>
    </row>
    <row r="179" spans="1:8">
      <c r="A179" s="31" t="s">
        <v>96</v>
      </c>
      <c r="B179" s="31" t="s">
        <v>404</v>
      </c>
      <c r="C179" s="38"/>
      <c r="D179" s="38"/>
      <c r="E179" s="38"/>
      <c r="F179" s="38">
        <v>15000</v>
      </c>
      <c r="G179" s="38"/>
      <c r="H179" s="38">
        <f t="shared" si="21"/>
        <v>15000</v>
      </c>
    </row>
    <row r="180" spans="1:8">
      <c r="A180" s="31" t="s">
        <v>98</v>
      </c>
      <c r="B180" s="31" t="s">
        <v>99</v>
      </c>
      <c r="C180" s="38"/>
      <c r="D180" s="38"/>
      <c r="E180" s="38"/>
      <c r="F180" s="38"/>
      <c r="G180" s="38"/>
      <c r="H180" s="38">
        <f t="shared" si="21"/>
        <v>0</v>
      </c>
    </row>
    <row r="181" spans="1:8">
      <c r="A181" s="31" t="s">
        <v>100</v>
      </c>
      <c r="B181" s="31" t="s">
        <v>284</v>
      </c>
      <c r="C181" s="38"/>
      <c r="D181" s="38"/>
      <c r="E181" s="38"/>
      <c r="F181" s="38"/>
      <c r="G181" s="38"/>
      <c r="H181" s="38">
        <f t="shared" si="21"/>
        <v>0</v>
      </c>
    </row>
    <row r="182" spans="1:8">
      <c r="A182" s="31" t="s">
        <v>101</v>
      </c>
      <c r="B182" s="31" t="s">
        <v>102</v>
      </c>
      <c r="C182" s="38"/>
      <c r="D182" s="38"/>
      <c r="E182" s="38"/>
      <c r="F182" s="38"/>
      <c r="G182" s="38"/>
      <c r="H182" s="38">
        <f t="shared" si="21"/>
        <v>0</v>
      </c>
    </row>
    <row r="183" spans="1:8">
      <c r="A183" s="31" t="s">
        <v>105</v>
      </c>
      <c r="B183" s="31" t="s">
        <v>167</v>
      </c>
      <c r="C183" s="38"/>
      <c r="D183" s="38"/>
      <c r="E183" s="38"/>
      <c r="F183" s="38"/>
      <c r="G183" s="38"/>
      <c r="H183" s="38">
        <f t="shared" si="21"/>
        <v>0</v>
      </c>
    </row>
    <row r="184" spans="1:8">
      <c r="A184" s="31" t="s">
        <v>106</v>
      </c>
      <c r="B184" s="31" t="s">
        <v>107</v>
      </c>
      <c r="C184" s="38">
        <v>250</v>
      </c>
      <c r="D184" s="38">
        <v>500</v>
      </c>
      <c r="E184" s="38">
        <v>350</v>
      </c>
      <c r="F184" s="38">
        <v>650</v>
      </c>
      <c r="G184" s="38"/>
      <c r="H184" s="38">
        <f t="shared" si="21"/>
        <v>1750</v>
      </c>
    </row>
    <row r="185" spans="1:8">
      <c r="A185" s="31" t="s">
        <v>428</v>
      </c>
      <c r="B185" s="31" t="s">
        <v>429</v>
      </c>
      <c r="C185" s="39">
        <v>1000</v>
      </c>
      <c r="D185" s="39">
        <v>1000</v>
      </c>
      <c r="E185" s="39">
        <v>250</v>
      </c>
      <c r="F185" s="39">
        <v>1000</v>
      </c>
      <c r="G185" s="38"/>
      <c r="H185" s="39">
        <f t="shared" si="21"/>
        <v>3250</v>
      </c>
    </row>
    <row r="186" spans="1:8">
      <c r="B186" s="31" t="s">
        <v>168</v>
      </c>
      <c r="C186" s="38">
        <f>SUM(C175:C185)</f>
        <v>1250</v>
      </c>
      <c r="D186" s="38">
        <f t="shared" ref="D186:H186" si="22">SUM(D175:D185)</f>
        <v>212500</v>
      </c>
      <c r="E186" s="38">
        <f t="shared" si="22"/>
        <v>1100</v>
      </c>
      <c r="F186" s="38">
        <f t="shared" ref="F186" si="23">SUM(F175:F185)</f>
        <v>47650</v>
      </c>
      <c r="G186" s="38"/>
      <c r="H186" s="38">
        <f t="shared" si="22"/>
        <v>262500</v>
      </c>
    </row>
    <row r="187" spans="1:8">
      <c r="C187" s="38"/>
      <c r="D187" s="38"/>
      <c r="E187" s="38"/>
      <c r="F187" s="38"/>
      <c r="G187" s="38"/>
      <c r="H187" s="38"/>
    </row>
    <row r="188" spans="1:8" s="4" customFormat="1">
      <c r="A188" s="35"/>
      <c r="B188" s="35" t="s">
        <v>169</v>
      </c>
      <c r="C188" s="40">
        <f>+C122+C133+C141+C150+C155+C171+C186</f>
        <v>46786.25</v>
      </c>
      <c r="D188" s="40">
        <f>+D122+D133+D141+D150+D155+D171+D186</f>
        <v>989978.65</v>
      </c>
      <c r="E188" s="40">
        <f>+E122+E133+E141+E150+E155+E171+E186</f>
        <v>226864.01523437499</v>
      </c>
      <c r="F188" s="40">
        <f>+F122+F133+F141+F150+F155+F171+F186</f>
        <v>608951.65625</v>
      </c>
      <c r="G188" s="40"/>
      <c r="H188" s="40">
        <f>+SUM(C188:G188)</f>
        <v>1872580.571484375</v>
      </c>
    </row>
    <row r="189" spans="1:8">
      <c r="C189" s="38"/>
      <c r="D189" s="38"/>
      <c r="E189" s="38"/>
      <c r="F189" s="38"/>
      <c r="G189" s="38"/>
      <c r="H189" s="38"/>
    </row>
    <row r="190" spans="1:8">
      <c r="B190" s="35" t="s">
        <v>435</v>
      </c>
      <c r="C190" s="38"/>
      <c r="D190" s="38"/>
      <c r="E190" s="38"/>
      <c r="F190" s="38"/>
      <c r="G190" s="38"/>
      <c r="H190" s="38"/>
    </row>
    <row r="191" spans="1:8" s="4" customFormat="1">
      <c r="A191" s="31"/>
      <c r="B191" s="31"/>
      <c r="C191" s="40">
        <f>+C68-C104-C188</f>
        <v>-124320.20737654447</v>
      </c>
      <c r="D191" s="40">
        <f>+D68-D104-D188</f>
        <v>-1191752.3674000001</v>
      </c>
      <c r="E191" s="40">
        <f>+E68-E104-E188</f>
        <v>-293125.39123437501</v>
      </c>
      <c r="F191" s="40">
        <f>+F68-F104-F188</f>
        <v>-788774.89945000003</v>
      </c>
      <c r="G191" s="40"/>
      <c r="H191" s="40">
        <f>+SUM(C191:G191)</f>
        <v>-2397972.8654609197</v>
      </c>
    </row>
    <row r="192" spans="1:8">
      <c r="A192" s="35"/>
      <c r="B192" s="35" t="s">
        <v>170</v>
      </c>
    </row>
    <row r="194" spans="1:2">
      <c r="A194" s="78"/>
    </row>
    <row r="195" spans="1:2">
      <c r="A195" s="78"/>
    </row>
    <row r="196" spans="1:2">
      <c r="B196" s="26"/>
    </row>
  </sheetData>
  <phoneticPr fontId="0" type="noConversion"/>
  <pageMargins left="0.17" right="0.17" top="1.48" bottom="0.49" header="0.22" footer="0.17"/>
  <pageSetup orientation="portrait"/>
  <headerFooter alignWithMargins="0">
    <oddHeader>&amp;C&amp;"MS Sans Serif,Bold"&amp;18ISL
BUDGET '13-2014
FACILITIES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5:I193"/>
  <sheetViews>
    <sheetView topLeftCell="A4" workbookViewId="0">
      <pane xSplit="2" ySplit="7" topLeftCell="C71" activePane="bottomRight" state="frozen"/>
      <selection activeCell="A4" sqref="A4"/>
      <selection pane="topRight" activeCell="C4" sqref="C4"/>
      <selection pane="bottomLeft" activeCell="A11" sqref="A11"/>
      <selection pane="bottomRight" activeCell="D72" sqref="D72"/>
    </sheetView>
  </sheetViews>
  <sheetFormatPr baseColWidth="10" defaultColWidth="11.42578125" defaultRowHeight="13" x14ac:dyDescent="0"/>
  <cols>
    <col min="1" max="1" width="14.85546875" style="10" customWidth="1"/>
    <col min="2" max="2" width="23.5703125" style="10" customWidth="1"/>
    <col min="4" max="5" width="9.5703125" style="1" customWidth="1"/>
    <col min="6" max="6" width="10" style="1" customWidth="1"/>
    <col min="7" max="7" width="9" style="1" customWidth="1"/>
    <col min="8" max="8" width="2" style="1" customWidth="1"/>
    <col min="9" max="9" width="9.42578125" style="37" customWidth="1"/>
    <col min="10" max="16384" width="11.42578125" style="1"/>
  </cols>
  <sheetData>
    <row r="5" spans="1:9">
      <c r="B5" s="11"/>
    </row>
    <row r="7" spans="1:9" s="8" customFormat="1" ht="10">
      <c r="A7" s="12"/>
      <c r="B7" s="12" t="s">
        <v>365</v>
      </c>
      <c r="D7" s="58">
        <v>1</v>
      </c>
      <c r="E7" s="58">
        <v>1</v>
      </c>
      <c r="F7" s="222">
        <v>1</v>
      </c>
      <c r="G7" s="222">
        <v>2</v>
      </c>
      <c r="I7" s="164">
        <f>SUM(D7:H7)</f>
        <v>5</v>
      </c>
    </row>
    <row r="9" spans="1:9">
      <c r="D9" s="56" t="s">
        <v>582</v>
      </c>
      <c r="E9" s="56" t="s">
        <v>599</v>
      </c>
      <c r="F9" s="56" t="s">
        <v>432</v>
      </c>
      <c r="G9" s="56" t="s">
        <v>574</v>
      </c>
      <c r="I9" s="37" t="s">
        <v>583</v>
      </c>
    </row>
    <row r="10" spans="1:9" s="7" customFormat="1" ht="10">
      <c r="A10" s="13"/>
      <c r="B10" s="13" t="s">
        <v>174</v>
      </c>
      <c r="D10" s="165" t="s">
        <v>431</v>
      </c>
      <c r="E10" s="165">
        <v>2500</v>
      </c>
      <c r="F10" s="165">
        <v>2500</v>
      </c>
      <c r="G10" s="165">
        <v>2500</v>
      </c>
      <c r="I10" s="86"/>
    </row>
    <row r="11" spans="1:9">
      <c r="A11" s="10" t="s">
        <v>268</v>
      </c>
    </row>
    <row r="12" spans="1:9">
      <c r="A12" s="10" t="s">
        <v>269</v>
      </c>
    </row>
    <row r="13" spans="1:9">
      <c r="A13" s="10" t="s">
        <v>171</v>
      </c>
      <c r="B13" s="10" t="s">
        <v>270</v>
      </c>
      <c r="D13" s="38"/>
      <c r="E13" s="38"/>
      <c r="F13" s="38"/>
      <c r="G13" s="38"/>
      <c r="H13" s="38"/>
      <c r="I13" s="40">
        <f t="shared" ref="I13:I37" si="0">SUM(D13:G13)</f>
        <v>0</v>
      </c>
    </row>
    <row r="14" spans="1:9">
      <c r="A14" s="10" t="s">
        <v>172</v>
      </c>
      <c r="B14" s="10" t="s">
        <v>271</v>
      </c>
      <c r="D14" s="38"/>
      <c r="E14" s="38"/>
      <c r="F14" s="38"/>
      <c r="G14" s="38"/>
      <c r="H14" s="38"/>
      <c r="I14" s="163">
        <f t="shared" si="0"/>
        <v>0</v>
      </c>
    </row>
    <row r="15" spans="1:9">
      <c r="A15" s="10" t="s">
        <v>173</v>
      </c>
      <c r="B15" s="10" t="s">
        <v>272</v>
      </c>
      <c r="D15" s="38"/>
      <c r="E15" s="38"/>
      <c r="F15" s="38"/>
      <c r="G15" s="38"/>
      <c r="H15" s="38"/>
      <c r="I15" s="163">
        <f t="shared" si="0"/>
        <v>0</v>
      </c>
    </row>
    <row r="16" spans="1:9">
      <c r="A16" s="10" t="s">
        <v>193</v>
      </c>
      <c r="B16" s="10" t="s">
        <v>273</v>
      </c>
      <c r="D16" s="38"/>
      <c r="E16" s="38"/>
      <c r="F16" s="38"/>
      <c r="G16" s="38"/>
      <c r="H16" s="38"/>
      <c r="I16" s="163">
        <f t="shared" si="0"/>
        <v>0</v>
      </c>
    </row>
    <row r="17" spans="1:9">
      <c r="A17" s="10" t="s">
        <v>194</v>
      </c>
      <c r="B17" s="10" t="s">
        <v>274</v>
      </c>
      <c r="D17" s="38"/>
      <c r="E17" s="38"/>
      <c r="F17" s="38"/>
      <c r="G17" s="38"/>
      <c r="H17" s="38"/>
      <c r="I17" s="163">
        <f t="shared" si="0"/>
        <v>0</v>
      </c>
    </row>
    <row r="18" spans="1:9">
      <c r="A18" s="10" t="s">
        <v>195</v>
      </c>
      <c r="B18" s="10" t="s">
        <v>275</v>
      </c>
      <c r="D18" s="38"/>
      <c r="E18" s="38"/>
      <c r="F18" s="38"/>
      <c r="G18" s="38"/>
      <c r="H18" s="38"/>
      <c r="I18" s="163">
        <f t="shared" si="0"/>
        <v>0</v>
      </c>
    </row>
    <row r="19" spans="1:9">
      <c r="A19" s="10" t="s">
        <v>196</v>
      </c>
      <c r="B19" s="10" t="s">
        <v>276</v>
      </c>
      <c r="D19" s="38"/>
      <c r="E19" s="38"/>
      <c r="F19" s="38"/>
      <c r="G19" s="38"/>
      <c r="H19" s="38"/>
      <c r="I19" s="163">
        <f t="shared" si="0"/>
        <v>0</v>
      </c>
    </row>
    <row r="20" spans="1:9">
      <c r="A20" s="10" t="s">
        <v>197</v>
      </c>
      <c r="B20" s="10" t="s">
        <v>277</v>
      </c>
      <c r="D20" s="38"/>
      <c r="E20" s="38"/>
      <c r="F20" s="38"/>
      <c r="G20" s="38"/>
      <c r="H20" s="38"/>
      <c r="I20" s="163">
        <f t="shared" si="0"/>
        <v>0</v>
      </c>
    </row>
    <row r="21" spans="1:9">
      <c r="A21" s="10" t="s">
        <v>198</v>
      </c>
      <c r="B21" s="10" t="s">
        <v>278</v>
      </c>
      <c r="D21" s="38"/>
      <c r="E21" s="38"/>
      <c r="F21" s="38"/>
      <c r="G21" s="38"/>
      <c r="H21" s="38"/>
      <c r="I21" s="163">
        <f t="shared" si="0"/>
        <v>0</v>
      </c>
    </row>
    <row r="22" spans="1:9">
      <c r="A22" s="10" t="s">
        <v>199</v>
      </c>
      <c r="B22" s="10" t="s">
        <v>279</v>
      </c>
      <c r="D22" s="38"/>
      <c r="E22" s="38"/>
      <c r="F22" s="38"/>
      <c r="G22" s="38"/>
      <c r="H22" s="38"/>
      <c r="I22" s="163">
        <f t="shared" si="0"/>
        <v>0</v>
      </c>
    </row>
    <row r="23" spans="1:9">
      <c r="A23" s="10" t="s">
        <v>200</v>
      </c>
      <c r="B23" s="10" t="s">
        <v>280</v>
      </c>
      <c r="D23" s="38"/>
      <c r="E23" s="38"/>
      <c r="F23" s="38"/>
      <c r="G23" s="38"/>
      <c r="H23" s="38"/>
      <c r="I23" s="163">
        <f t="shared" si="0"/>
        <v>0</v>
      </c>
    </row>
    <row r="24" spans="1:9">
      <c r="A24" s="10" t="s">
        <v>201</v>
      </c>
      <c r="B24" s="10" t="s">
        <v>281</v>
      </c>
      <c r="D24" s="38"/>
      <c r="E24" s="38"/>
      <c r="F24" s="38"/>
      <c r="G24" s="38"/>
      <c r="H24" s="38"/>
      <c r="I24" s="163">
        <f t="shared" si="0"/>
        <v>0</v>
      </c>
    </row>
    <row r="25" spans="1:9">
      <c r="A25" s="10" t="s">
        <v>202</v>
      </c>
      <c r="B25" s="10" t="s">
        <v>282</v>
      </c>
      <c r="D25" s="38"/>
      <c r="E25" s="38"/>
      <c r="F25" s="38"/>
      <c r="G25" s="38"/>
      <c r="H25" s="38"/>
      <c r="I25" s="163">
        <f t="shared" si="0"/>
        <v>0</v>
      </c>
    </row>
    <row r="26" spans="1:9">
      <c r="A26" s="10" t="s">
        <v>203</v>
      </c>
      <c r="B26" s="10" t="s">
        <v>283</v>
      </c>
      <c r="D26" s="38"/>
      <c r="E26" s="38"/>
      <c r="F26" s="38"/>
      <c r="G26" s="38"/>
      <c r="H26" s="38"/>
      <c r="I26" s="163">
        <f t="shared" si="0"/>
        <v>0</v>
      </c>
    </row>
    <row r="27" spans="1:9">
      <c r="A27" s="10" t="s">
        <v>204</v>
      </c>
      <c r="B27" s="10" t="s">
        <v>284</v>
      </c>
      <c r="D27" s="38"/>
      <c r="E27" s="38"/>
      <c r="F27" s="38"/>
      <c r="G27" s="38"/>
      <c r="H27" s="38"/>
      <c r="I27" s="163">
        <f t="shared" si="0"/>
        <v>0</v>
      </c>
    </row>
    <row r="28" spans="1:9">
      <c r="A28" s="10" t="s">
        <v>205</v>
      </c>
      <c r="B28" s="10" t="s">
        <v>285</v>
      </c>
      <c r="D28" s="38"/>
      <c r="E28" s="38"/>
      <c r="F28" s="38"/>
      <c r="G28" s="38"/>
      <c r="H28" s="38"/>
      <c r="I28" s="163">
        <f t="shared" si="0"/>
        <v>0</v>
      </c>
    </row>
    <row r="29" spans="1:9">
      <c r="A29" s="10" t="s">
        <v>206</v>
      </c>
      <c r="B29" s="10" t="s">
        <v>286</v>
      </c>
      <c r="D29" s="38"/>
      <c r="E29" s="38"/>
      <c r="F29" s="38"/>
      <c r="G29" s="38"/>
      <c r="H29" s="38"/>
      <c r="I29" s="163">
        <f t="shared" si="0"/>
        <v>0</v>
      </c>
    </row>
    <row r="30" spans="1:9">
      <c r="A30" s="10" t="s">
        <v>208</v>
      </c>
      <c r="B30" s="10" t="s">
        <v>287</v>
      </c>
      <c r="D30" s="38"/>
      <c r="E30" s="38"/>
      <c r="F30" s="38"/>
      <c r="G30" s="38"/>
      <c r="H30" s="38"/>
      <c r="I30" s="163">
        <f t="shared" si="0"/>
        <v>0</v>
      </c>
    </row>
    <row r="31" spans="1:9">
      <c r="A31" s="10" t="s">
        <v>207</v>
      </c>
      <c r="B31" s="10" t="s">
        <v>288</v>
      </c>
      <c r="D31" s="38">
        <f t="shared" ref="D31" si="1">450*12</f>
        <v>5400</v>
      </c>
      <c r="F31" s="38"/>
      <c r="G31" s="38"/>
      <c r="H31" s="38"/>
      <c r="I31" s="163">
        <f t="shared" si="0"/>
        <v>5400</v>
      </c>
    </row>
    <row r="32" spans="1:9">
      <c r="A32" s="10" t="s">
        <v>209</v>
      </c>
      <c r="B32" s="10" t="s">
        <v>210</v>
      </c>
      <c r="D32" s="38"/>
      <c r="E32" s="38"/>
      <c r="F32" s="38"/>
      <c r="G32" s="38"/>
      <c r="H32" s="38"/>
      <c r="I32" s="163">
        <f t="shared" si="0"/>
        <v>0</v>
      </c>
    </row>
    <row r="33" spans="1:9">
      <c r="A33" s="10" t="s">
        <v>213</v>
      </c>
      <c r="B33" s="10" t="s">
        <v>214</v>
      </c>
      <c r="D33" s="38"/>
      <c r="E33" s="38"/>
      <c r="F33" s="38"/>
      <c r="G33" s="38"/>
      <c r="H33" s="38"/>
      <c r="I33" s="163">
        <f t="shared" si="0"/>
        <v>0</v>
      </c>
    </row>
    <row r="34" spans="1:9">
      <c r="A34" s="10" t="s">
        <v>212</v>
      </c>
      <c r="B34" s="10" t="s">
        <v>289</v>
      </c>
      <c r="D34" s="38"/>
      <c r="E34" s="38"/>
      <c r="F34" s="38"/>
      <c r="G34" s="38"/>
      <c r="H34" s="38"/>
      <c r="I34" s="163">
        <f t="shared" si="0"/>
        <v>0</v>
      </c>
    </row>
    <row r="35" spans="1:9">
      <c r="A35" s="10" t="s">
        <v>211</v>
      </c>
      <c r="B35" s="10" t="s">
        <v>290</v>
      </c>
      <c r="D35" s="38"/>
      <c r="E35" s="38"/>
      <c r="F35" s="38"/>
      <c r="G35" s="38"/>
      <c r="H35" s="38"/>
      <c r="I35" s="163">
        <f t="shared" si="0"/>
        <v>0</v>
      </c>
    </row>
    <row r="36" spans="1:9">
      <c r="A36" s="10" t="s">
        <v>215</v>
      </c>
      <c r="B36" s="10" t="s">
        <v>291</v>
      </c>
      <c r="D36" s="38"/>
      <c r="E36" s="38"/>
      <c r="F36" s="38"/>
      <c r="G36" s="38"/>
      <c r="H36" s="38"/>
      <c r="I36" s="163">
        <f t="shared" si="0"/>
        <v>0</v>
      </c>
    </row>
    <row r="37" spans="1:9">
      <c r="A37" s="10" t="s">
        <v>216</v>
      </c>
      <c r="B37" s="10" t="s">
        <v>292</v>
      </c>
      <c r="D37" s="39"/>
      <c r="E37" s="39"/>
      <c r="F37" s="39"/>
      <c r="G37" s="39"/>
      <c r="H37" s="38"/>
      <c r="I37" s="87">
        <f t="shared" si="0"/>
        <v>0</v>
      </c>
    </row>
    <row r="38" spans="1:9">
      <c r="B38" s="10" t="s">
        <v>293</v>
      </c>
      <c r="D38" s="38">
        <f t="shared" ref="D38:G38" si="2">+SUM(D13:D37)</f>
        <v>5400</v>
      </c>
      <c r="E38" s="38">
        <f t="shared" si="2"/>
        <v>0</v>
      </c>
      <c r="F38" s="38">
        <f t="shared" si="2"/>
        <v>0</v>
      </c>
      <c r="G38" s="38">
        <f t="shared" si="2"/>
        <v>0</v>
      </c>
      <c r="H38" s="38"/>
      <c r="I38" s="40">
        <f>SUM(I13:I37)</f>
        <v>5400</v>
      </c>
    </row>
    <row r="39" spans="1:9">
      <c r="D39" s="38"/>
      <c r="E39" s="38"/>
      <c r="F39" s="38"/>
      <c r="G39" s="38"/>
      <c r="H39" s="38"/>
      <c r="I39" s="40"/>
    </row>
    <row r="40" spans="1:9">
      <c r="A40" s="10" t="s">
        <v>294</v>
      </c>
      <c r="D40" s="38"/>
      <c r="E40" s="38"/>
      <c r="F40" s="38"/>
      <c r="G40" s="38"/>
      <c r="H40" s="38"/>
      <c r="I40" s="163">
        <f t="shared" ref="I40:I48" si="3">SUM(D40:G40)</f>
        <v>0</v>
      </c>
    </row>
    <row r="41" spans="1:9">
      <c r="A41" s="10" t="s">
        <v>217</v>
      </c>
      <c r="B41" s="10" t="s">
        <v>295</v>
      </c>
      <c r="D41" s="38"/>
      <c r="E41" s="38"/>
      <c r="F41" s="38"/>
      <c r="G41" s="38"/>
      <c r="H41" s="38"/>
      <c r="I41" s="163">
        <f t="shared" si="3"/>
        <v>0</v>
      </c>
    </row>
    <row r="42" spans="1:9">
      <c r="A42" s="10" t="s">
        <v>218</v>
      </c>
      <c r="B42" s="10" t="s">
        <v>219</v>
      </c>
      <c r="D42" s="38"/>
      <c r="E42" s="38"/>
      <c r="F42" s="38"/>
      <c r="G42" s="38"/>
      <c r="H42" s="38"/>
      <c r="I42" s="163">
        <f t="shared" si="3"/>
        <v>0</v>
      </c>
    </row>
    <row r="43" spans="1:9">
      <c r="A43" s="10" t="s">
        <v>220</v>
      </c>
      <c r="B43" s="10" t="s">
        <v>221</v>
      </c>
      <c r="D43" s="38"/>
      <c r="E43" s="38"/>
      <c r="F43" s="38"/>
      <c r="G43" s="38"/>
      <c r="H43" s="38"/>
      <c r="I43" s="163">
        <f t="shared" si="3"/>
        <v>0</v>
      </c>
    </row>
    <row r="44" spans="1:9">
      <c r="A44" s="10" t="s">
        <v>222</v>
      </c>
      <c r="B44" s="10" t="s">
        <v>296</v>
      </c>
      <c r="D44" s="38"/>
      <c r="E44" s="38"/>
      <c r="F44" s="38"/>
      <c r="G44" s="38"/>
      <c r="H44" s="38"/>
      <c r="I44" s="163">
        <f t="shared" si="3"/>
        <v>0</v>
      </c>
    </row>
    <row r="45" spans="1:9">
      <c r="A45" s="10" t="s">
        <v>223</v>
      </c>
      <c r="B45" s="10" t="s">
        <v>224</v>
      </c>
      <c r="D45" s="38"/>
      <c r="E45" s="38"/>
      <c r="F45" s="38"/>
      <c r="G45" s="38"/>
      <c r="H45" s="38"/>
      <c r="I45" s="163">
        <f t="shared" si="3"/>
        <v>0</v>
      </c>
    </row>
    <row r="46" spans="1:9">
      <c r="A46" s="10" t="s">
        <v>225</v>
      </c>
      <c r="B46" s="10" t="s">
        <v>226</v>
      </c>
      <c r="D46" s="38"/>
      <c r="E46" s="38"/>
      <c r="F46" s="38"/>
      <c r="G46" s="38"/>
      <c r="H46" s="38"/>
      <c r="I46" s="163">
        <f t="shared" si="3"/>
        <v>0</v>
      </c>
    </row>
    <row r="47" spans="1:9">
      <c r="A47" s="10" t="s">
        <v>227</v>
      </c>
      <c r="B47" s="10" t="s">
        <v>297</v>
      </c>
      <c r="D47" s="38"/>
      <c r="E47" s="38"/>
      <c r="F47" s="38"/>
      <c r="G47" s="38"/>
      <c r="H47" s="38"/>
      <c r="I47" s="163">
        <f t="shared" si="3"/>
        <v>0</v>
      </c>
    </row>
    <row r="48" spans="1:9">
      <c r="A48" s="10" t="s">
        <v>228</v>
      </c>
      <c r="B48" s="10" t="s">
        <v>298</v>
      </c>
      <c r="D48" s="39"/>
      <c r="E48" s="39"/>
      <c r="F48" s="39"/>
      <c r="G48" s="39"/>
      <c r="H48" s="38"/>
      <c r="I48" s="87">
        <f t="shared" si="3"/>
        <v>0</v>
      </c>
    </row>
    <row r="49" spans="1:9">
      <c r="B49" s="10" t="s">
        <v>299</v>
      </c>
      <c r="D49" s="38">
        <f t="shared" ref="D49:G49" si="4">+SUM(D41:D48)</f>
        <v>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38"/>
      <c r="I49" s="40">
        <f>SUM(I41:I48)</f>
        <v>0</v>
      </c>
    </row>
    <row r="50" spans="1:9">
      <c r="D50" s="38"/>
      <c r="E50" s="38"/>
      <c r="F50" s="38"/>
      <c r="G50" s="38"/>
      <c r="H50" s="38"/>
      <c r="I50" s="40"/>
    </row>
    <row r="51" spans="1:9">
      <c r="A51" s="10" t="s">
        <v>300</v>
      </c>
      <c r="D51" s="38"/>
      <c r="E51" s="38"/>
      <c r="F51" s="38"/>
      <c r="G51" s="38"/>
      <c r="H51" s="38"/>
      <c r="I51" s="40"/>
    </row>
    <row r="52" spans="1:9">
      <c r="A52" s="10" t="s">
        <v>301</v>
      </c>
      <c r="D52" s="38"/>
      <c r="E52" s="38"/>
      <c r="F52" s="38"/>
      <c r="G52" s="38"/>
      <c r="H52" s="38"/>
      <c r="I52" s="40"/>
    </row>
    <row r="53" spans="1:9">
      <c r="A53" s="10" t="s">
        <v>229</v>
      </c>
      <c r="B53" s="10" t="s">
        <v>389</v>
      </c>
      <c r="D53" s="38"/>
      <c r="E53" s="38"/>
      <c r="F53" s="38"/>
      <c r="G53" s="38"/>
      <c r="H53" s="38"/>
      <c r="I53" s="163">
        <f t="shared" ref="I53:I65" si="5">SUM(D53:G53)</f>
        <v>0</v>
      </c>
    </row>
    <row r="54" spans="1:9">
      <c r="A54" s="10" t="s">
        <v>230</v>
      </c>
      <c r="B54" s="10" t="s">
        <v>390</v>
      </c>
      <c r="D54" s="38"/>
      <c r="E54" s="38"/>
      <c r="F54" s="38"/>
      <c r="G54" s="38"/>
      <c r="H54" s="38"/>
      <c r="I54" s="163">
        <f t="shared" si="5"/>
        <v>0</v>
      </c>
    </row>
    <row r="55" spans="1:9">
      <c r="A55" s="10" t="s">
        <v>231</v>
      </c>
      <c r="B55" s="10" t="s">
        <v>391</v>
      </c>
      <c r="D55" s="38"/>
      <c r="E55" s="38"/>
      <c r="F55" s="38"/>
      <c r="G55" s="38"/>
      <c r="H55" s="38"/>
      <c r="I55" s="163">
        <f t="shared" si="5"/>
        <v>0</v>
      </c>
    </row>
    <row r="56" spans="1:9">
      <c r="A56" s="10" t="s">
        <v>232</v>
      </c>
      <c r="B56" s="10" t="s">
        <v>302</v>
      </c>
      <c r="D56" s="38"/>
      <c r="E56" s="38"/>
      <c r="F56" s="38"/>
      <c r="G56" s="38"/>
      <c r="H56" s="38"/>
      <c r="I56" s="163">
        <f t="shared" si="5"/>
        <v>0</v>
      </c>
    </row>
    <row r="57" spans="1:9">
      <c r="A57" s="10" t="s">
        <v>233</v>
      </c>
      <c r="B57" s="10" t="s">
        <v>303</v>
      </c>
      <c r="D57" s="38"/>
      <c r="E57" s="38"/>
      <c r="F57" s="38"/>
      <c r="G57" s="38"/>
      <c r="H57" s="38"/>
      <c r="I57" s="163">
        <f t="shared" si="5"/>
        <v>0</v>
      </c>
    </row>
    <row r="58" spans="1:9">
      <c r="A58" s="10" t="s">
        <v>0</v>
      </c>
      <c r="B58" s="10" t="s">
        <v>304</v>
      </c>
      <c r="D58" s="38"/>
      <c r="E58" s="38"/>
      <c r="F58" s="38"/>
      <c r="G58" s="38"/>
      <c r="H58" s="38"/>
      <c r="I58" s="163">
        <f t="shared" si="5"/>
        <v>0</v>
      </c>
    </row>
    <row r="59" spans="1:9">
      <c r="A59" s="10" t="s">
        <v>1</v>
      </c>
      <c r="B59" s="10" t="s">
        <v>305</v>
      </c>
      <c r="D59" s="38"/>
      <c r="E59" s="38"/>
      <c r="F59" s="38"/>
      <c r="G59" s="38"/>
      <c r="H59" s="38"/>
      <c r="I59" s="163">
        <f t="shared" si="5"/>
        <v>0</v>
      </c>
    </row>
    <row r="60" spans="1:9">
      <c r="A60" s="10" t="s">
        <v>3</v>
      </c>
      <c r="B60" s="10" t="s">
        <v>2</v>
      </c>
      <c r="D60" s="38"/>
      <c r="E60" s="38"/>
      <c r="F60" s="38"/>
      <c r="G60" s="38"/>
      <c r="H60" s="38"/>
      <c r="I60" s="163">
        <f t="shared" si="5"/>
        <v>0</v>
      </c>
    </row>
    <row r="61" spans="1:9">
      <c r="A61" s="10" t="s">
        <v>4</v>
      </c>
      <c r="B61" s="10" t="s">
        <v>5</v>
      </c>
      <c r="D61" s="38"/>
      <c r="E61" s="38"/>
      <c r="F61" s="38"/>
      <c r="G61" s="38"/>
      <c r="H61" s="38"/>
      <c r="I61" s="163">
        <f t="shared" si="5"/>
        <v>0</v>
      </c>
    </row>
    <row r="62" spans="1:9">
      <c r="A62" s="10" t="s">
        <v>6</v>
      </c>
      <c r="B62" s="10" t="s">
        <v>7</v>
      </c>
      <c r="D62" s="38"/>
      <c r="E62" s="38"/>
      <c r="F62" s="38"/>
      <c r="G62" s="38"/>
      <c r="H62" s="38"/>
      <c r="I62" s="163">
        <f t="shared" si="5"/>
        <v>0</v>
      </c>
    </row>
    <row r="63" spans="1:9">
      <c r="A63" s="10" t="s">
        <v>8</v>
      </c>
      <c r="B63" s="10" t="s">
        <v>9</v>
      </c>
      <c r="D63" s="38"/>
      <c r="E63" s="38"/>
      <c r="F63" s="38"/>
      <c r="G63" s="38"/>
      <c r="H63" s="38"/>
      <c r="I63" s="163">
        <f t="shared" si="5"/>
        <v>0</v>
      </c>
    </row>
    <row r="64" spans="1:9">
      <c r="A64" s="10" t="s">
        <v>11</v>
      </c>
      <c r="B64" s="10" t="s">
        <v>307</v>
      </c>
      <c r="D64" s="38"/>
      <c r="E64" s="38"/>
      <c r="F64" s="38"/>
      <c r="G64" s="38"/>
      <c r="H64" s="38"/>
      <c r="I64" s="163">
        <f t="shared" si="5"/>
        <v>0</v>
      </c>
    </row>
    <row r="65" spans="1:9">
      <c r="A65" s="10" t="s">
        <v>10</v>
      </c>
      <c r="B65" s="10" t="s">
        <v>306</v>
      </c>
      <c r="D65" s="39"/>
      <c r="E65" s="39"/>
      <c r="F65" s="39"/>
      <c r="G65" s="39"/>
      <c r="H65" s="38"/>
      <c r="I65" s="87">
        <f t="shared" si="5"/>
        <v>0</v>
      </c>
    </row>
    <row r="66" spans="1:9">
      <c r="B66" s="10" t="s">
        <v>308</v>
      </c>
      <c r="D66" s="38">
        <f t="shared" ref="D66:G66" si="6">+SUM(D53:D65)</f>
        <v>0</v>
      </c>
      <c r="E66" s="38">
        <f t="shared" si="6"/>
        <v>0</v>
      </c>
      <c r="F66" s="38">
        <f t="shared" si="6"/>
        <v>0</v>
      </c>
      <c r="G66" s="38">
        <f t="shared" si="6"/>
        <v>0</v>
      </c>
      <c r="H66" s="38"/>
      <c r="I66" s="40">
        <f>SUM(I53:I65)</f>
        <v>0</v>
      </c>
    </row>
    <row r="67" spans="1:9">
      <c r="D67" s="38"/>
      <c r="E67" s="38"/>
      <c r="F67" s="38"/>
      <c r="G67" s="38"/>
      <c r="H67" s="38"/>
      <c r="I67" s="40"/>
    </row>
    <row r="68" spans="1:9" s="4" customFormat="1" ht="10">
      <c r="A68" s="14"/>
      <c r="B68" s="14" t="s">
        <v>309</v>
      </c>
      <c r="D68" s="40">
        <f t="shared" ref="D68:G68" si="7">+D66+D49+D38</f>
        <v>5400</v>
      </c>
      <c r="E68" s="40">
        <f t="shared" si="7"/>
        <v>0</v>
      </c>
      <c r="F68" s="40">
        <f t="shared" si="7"/>
        <v>0</v>
      </c>
      <c r="G68" s="40">
        <f t="shared" si="7"/>
        <v>0</v>
      </c>
      <c r="H68" s="40"/>
      <c r="I68" s="40">
        <f>SUM(I38+I49+I66)</f>
        <v>5400</v>
      </c>
    </row>
    <row r="69" spans="1:9">
      <c r="D69" s="38"/>
      <c r="E69" s="38"/>
      <c r="F69" s="38"/>
      <c r="G69" s="38"/>
      <c r="H69" s="38"/>
      <c r="I69" s="40"/>
    </row>
    <row r="70" spans="1:9">
      <c r="A70" s="10" t="s">
        <v>310</v>
      </c>
      <c r="D70" s="38"/>
      <c r="E70" s="38"/>
      <c r="F70" s="38"/>
      <c r="G70" s="38"/>
      <c r="H70" s="38"/>
      <c r="I70" s="40"/>
    </row>
    <row r="71" spans="1:9">
      <c r="A71" s="10" t="s">
        <v>311</v>
      </c>
      <c r="D71" s="38"/>
      <c r="E71" s="38"/>
      <c r="F71" s="38"/>
      <c r="G71" s="38"/>
      <c r="H71" s="38"/>
      <c r="I71" s="40"/>
    </row>
    <row r="72" spans="1:9">
      <c r="A72" s="10" t="s">
        <v>19</v>
      </c>
      <c r="B72" s="10" t="s">
        <v>320</v>
      </c>
      <c r="D72" s="38">
        <f>SUM('OP-SCH'!F28)</f>
        <v>65238.659191462233</v>
      </c>
      <c r="E72" s="38">
        <f>SUM('OP-SCH'!D21)</f>
        <v>52514.55</v>
      </c>
      <c r="F72" s="38"/>
      <c r="G72" s="38"/>
      <c r="H72" s="38"/>
      <c r="I72" s="163">
        <f t="shared" ref="I72:I79" si="8">SUM(D72:G72)</f>
        <v>117753.20919146223</v>
      </c>
    </row>
    <row r="73" spans="1:9">
      <c r="A73" s="10" t="s">
        <v>12</v>
      </c>
      <c r="B73" s="10" t="s">
        <v>312</v>
      </c>
      <c r="D73" s="38"/>
      <c r="E73" s="38"/>
      <c r="F73" s="38"/>
      <c r="G73" s="38"/>
      <c r="H73" s="38"/>
      <c r="I73" s="163">
        <f t="shared" si="8"/>
        <v>0</v>
      </c>
    </row>
    <row r="74" spans="1:9">
      <c r="A74" s="10" t="s">
        <v>13</v>
      </c>
      <c r="B74" s="10" t="s">
        <v>313</v>
      </c>
      <c r="D74" s="38"/>
      <c r="E74" s="38"/>
      <c r="F74" s="38"/>
      <c r="G74" s="38"/>
      <c r="H74" s="38"/>
      <c r="I74" s="163">
        <f t="shared" si="8"/>
        <v>0</v>
      </c>
    </row>
    <row r="75" spans="1:9">
      <c r="A75" s="10" t="s">
        <v>14</v>
      </c>
      <c r="B75" s="10" t="s">
        <v>314</v>
      </c>
      <c r="D75" s="38"/>
      <c r="E75" s="38"/>
      <c r="F75" s="38"/>
      <c r="G75" s="38"/>
      <c r="H75" s="38"/>
      <c r="I75" s="163">
        <f t="shared" si="8"/>
        <v>0</v>
      </c>
    </row>
    <row r="76" spans="1:9">
      <c r="A76" s="10" t="s">
        <v>15</v>
      </c>
      <c r="B76" s="10" t="s">
        <v>315</v>
      </c>
      <c r="D76" s="38"/>
      <c r="E76" s="38"/>
      <c r="F76" s="38">
        <f>SUM('13-2014 Ret Emp'!I77)</f>
        <v>43611.890675165996</v>
      </c>
      <c r="G76" s="38"/>
      <c r="H76" s="38"/>
      <c r="I76" s="163">
        <f t="shared" si="8"/>
        <v>43611.890675165996</v>
      </c>
    </row>
    <row r="77" spans="1:9">
      <c r="A77" s="10" t="s">
        <v>16</v>
      </c>
      <c r="B77" s="10" t="s">
        <v>316</v>
      </c>
      <c r="D77" s="38"/>
      <c r="E77" s="38"/>
      <c r="F77" s="38"/>
      <c r="G77" s="38">
        <f>SUM('13-2014 Ret Emp'!I95*2080)+'STF-SCH'!D28</f>
        <v>57472.351999999999</v>
      </c>
      <c r="H77" s="38"/>
      <c r="I77" s="163">
        <f t="shared" si="8"/>
        <v>57472.351999999999</v>
      </c>
    </row>
    <row r="78" spans="1:9">
      <c r="A78" s="10" t="s">
        <v>17</v>
      </c>
      <c r="B78" s="10" t="s">
        <v>317</v>
      </c>
      <c r="D78" s="38"/>
      <c r="E78" s="38"/>
      <c r="F78" s="38"/>
      <c r="G78" s="38"/>
      <c r="H78" s="38"/>
      <c r="I78" s="163">
        <f t="shared" si="8"/>
        <v>0</v>
      </c>
    </row>
    <row r="79" spans="1:9" ht="14.25" customHeight="1">
      <c r="A79" s="10" t="s">
        <v>18</v>
      </c>
      <c r="B79" s="10" t="s">
        <v>319</v>
      </c>
      <c r="D79" s="39"/>
      <c r="E79" s="39"/>
      <c r="F79" s="39"/>
      <c r="G79" s="39"/>
      <c r="H79" s="38"/>
      <c r="I79" s="87">
        <f t="shared" si="8"/>
        <v>0</v>
      </c>
    </row>
    <row r="80" spans="1:9">
      <c r="B80" s="10" t="s">
        <v>24</v>
      </c>
      <c r="D80" s="38">
        <f t="shared" ref="D80" si="9">SUM(D72:D79)</f>
        <v>65238.659191462233</v>
      </c>
      <c r="E80" s="38">
        <f t="shared" ref="E80" si="10">SUM(E72:E79)</f>
        <v>52514.55</v>
      </c>
      <c r="F80" s="38">
        <f t="shared" ref="F80" si="11">SUM(F72:F79)</f>
        <v>43611.890675165996</v>
      </c>
      <c r="G80" s="38">
        <f t="shared" ref="G80" si="12">SUM(G72:G79)</f>
        <v>57472.351999999999</v>
      </c>
      <c r="H80" s="38"/>
      <c r="I80" s="40">
        <f>SUM(I72:I79)</f>
        <v>218837.45186662825</v>
      </c>
    </row>
    <row r="81" spans="1:9">
      <c r="D81" s="38"/>
      <c r="E81" s="38"/>
      <c r="F81" s="38"/>
      <c r="G81" s="38"/>
      <c r="H81" s="38"/>
      <c r="I81" s="40"/>
    </row>
    <row r="82" spans="1:9">
      <c r="D82" s="38"/>
      <c r="E82" s="38"/>
      <c r="F82" s="38"/>
      <c r="G82" s="38"/>
      <c r="H82" s="38"/>
      <c r="I82" s="40"/>
    </row>
    <row r="83" spans="1:9">
      <c r="A83" s="16" t="s">
        <v>322</v>
      </c>
      <c r="D83" s="38"/>
      <c r="E83" s="38"/>
      <c r="F83" s="38"/>
      <c r="G83" s="38"/>
      <c r="H83" s="38"/>
      <c r="I83" s="40"/>
    </row>
    <row r="84" spans="1:9">
      <c r="A84" s="10" t="s">
        <v>20</v>
      </c>
      <c r="B84" s="10" t="s">
        <v>321</v>
      </c>
      <c r="D84" s="38"/>
      <c r="E84" s="38"/>
      <c r="F84" s="38"/>
      <c r="G84" s="38"/>
      <c r="H84" s="38"/>
      <c r="I84" s="163">
        <f>SUM(D84:G84)</f>
        <v>0</v>
      </c>
    </row>
    <row r="85" spans="1:9">
      <c r="A85" s="10" t="s">
        <v>21</v>
      </c>
      <c r="B85" s="10" t="s">
        <v>322</v>
      </c>
      <c r="D85" s="38"/>
      <c r="E85" s="38"/>
      <c r="F85" s="38"/>
      <c r="G85" s="38"/>
      <c r="H85" s="38"/>
      <c r="I85" s="163">
        <f>SUM(D85:G85)</f>
        <v>0</v>
      </c>
    </row>
    <row r="86" spans="1:9">
      <c r="A86" s="10" t="s">
        <v>406</v>
      </c>
      <c r="B86" s="10" t="s">
        <v>407</v>
      </c>
      <c r="D86" s="38"/>
      <c r="E86" s="38"/>
      <c r="F86" s="38">
        <f>750*F7</f>
        <v>750</v>
      </c>
      <c r="G86" s="38">
        <f>750*G7</f>
        <v>1500</v>
      </c>
      <c r="H86" s="38"/>
      <c r="I86" s="163">
        <f>SUM(D86:G86)</f>
        <v>2250</v>
      </c>
    </row>
    <row r="87" spans="1:9">
      <c r="A87" s="10" t="s">
        <v>22</v>
      </c>
      <c r="B87" s="10" t="s">
        <v>23</v>
      </c>
      <c r="D87" s="39"/>
      <c r="E87" s="39"/>
      <c r="F87" s="39"/>
      <c r="G87" s="39"/>
      <c r="H87" s="38"/>
      <c r="I87" s="87">
        <f>SUM(D87:G87)</f>
        <v>0</v>
      </c>
    </row>
    <row r="88" spans="1:9">
      <c r="B88" s="10" t="s">
        <v>323</v>
      </c>
      <c r="D88" s="38">
        <f t="shared" ref="D88:G88" si="13">+SUM(D84:D87)</f>
        <v>0</v>
      </c>
      <c r="E88" s="38">
        <f t="shared" si="13"/>
        <v>0</v>
      </c>
      <c r="F88" s="38">
        <f t="shared" si="13"/>
        <v>750</v>
      </c>
      <c r="G88" s="38">
        <f t="shared" si="13"/>
        <v>1500</v>
      </c>
      <c r="H88" s="38"/>
      <c r="I88" s="40">
        <f>SUM(I84:I87)</f>
        <v>2250</v>
      </c>
    </row>
    <row r="89" spans="1:9">
      <c r="D89" s="38"/>
      <c r="E89" s="38"/>
      <c r="F89" s="38"/>
      <c r="G89" s="38"/>
      <c r="H89" s="38"/>
      <c r="I89" s="40"/>
    </row>
    <row r="90" spans="1:9">
      <c r="B90" s="10" t="s">
        <v>324</v>
      </c>
      <c r="D90" s="38">
        <f t="shared" ref="D90:G90" si="14">SUM(D80+D88)</f>
        <v>65238.659191462233</v>
      </c>
      <c r="E90" s="38">
        <f t="shared" si="14"/>
        <v>52514.55</v>
      </c>
      <c r="F90" s="38">
        <f t="shared" si="14"/>
        <v>44361.890675165996</v>
      </c>
      <c r="G90" s="38">
        <f t="shared" si="14"/>
        <v>58972.351999999999</v>
      </c>
      <c r="H90" s="38"/>
      <c r="I90" s="40">
        <f>SUM(I80+I88)</f>
        <v>221087.45186662825</v>
      </c>
    </row>
    <row r="91" spans="1:9">
      <c r="D91" s="38"/>
      <c r="E91" s="38"/>
      <c r="F91" s="38"/>
      <c r="G91" s="38"/>
      <c r="H91" s="38"/>
      <c r="I91" s="40"/>
    </row>
    <row r="92" spans="1:9">
      <c r="A92" s="10" t="s">
        <v>325</v>
      </c>
      <c r="D92" s="38"/>
      <c r="E92" s="38"/>
      <c r="F92" s="38"/>
      <c r="G92" s="38"/>
      <c r="H92" s="38"/>
      <c r="I92" s="40"/>
    </row>
    <row r="93" spans="1:9">
      <c r="A93" s="10" t="s">
        <v>25</v>
      </c>
      <c r="B93" s="10" t="s">
        <v>33</v>
      </c>
      <c r="D93" s="38">
        <f>+D$7*139.64*2*1.05*12</f>
        <v>3518.9279999999999</v>
      </c>
      <c r="E93" s="38">
        <f>+E$7*139.64*2*1.05*12</f>
        <v>3518.9279999999999</v>
      </c>
      <c r="F93" s="38">
        <f t="shared" ref="F93" si="15">+F$7*139.64*2*1.05*12</f>
        <v>3518.9279999999999</v>
      </c>
      <c r="G93" s="38">
        <f t="shared" ref="G93" si="16">+G$7*139.64*2*1.05*12</f>
        <v>7037.8559999999998</v>
      </c>
      <c r="H93" s="38"/>
      <c r="I93" s="163">
        <f t="shared" ref="I93:I101" si="17">SUM(D93:G93)</f>
        <v>17594.64</v>
      </c>
    </row>
    <row r="94" spans="1:9">
      <c r="A94" s="10" t="s">
        <v>26</v>
      </c>
      <c r="B94" s="10" t="s">
        <v>34</v>
      </c>
      <c r="D94" s="38">
        <f>+D$7*8.74*2*1.02*12</f>
        <v>213.95519999999999</v>
      </c>
      <c r="E94" s="38">
        <f t="shared" ref="E94:F94" si="18">+E$7*8.74*2*1.02*12</f>
        <v>213.95519999999999</v>
      </c>
      <c r="F94" s="38">
        <f t="shared" si="18"/>
        <v>213.95519999999999</v>
      </c>
      <c r="G94" s="38">
        <f t="shared" ref="G94" si="19">+G$7*8.74*2*1.02*12</f>
        <v>427.91039999999998</v>
      </c>
      <c r="H94" s="38"/>
      <c r="I94" s="163">
        <f t="shared" si="17"/>
        <v>1069.7759999999998</v>
      </c>
    </row>
    <row r="95" spans="1:9">
      <c r="A95" s="10" t="s">
        <v>28</v>
      </c>
      <c r="B95" s="10" t="s">
        <v>27</v>
      </c>
      <c r="D95" s="38">
        <f>(+D$88-D$84+D$80)*0.062</f>
        <v>4044.7968698706586</v>
      </c>
      <c r="E95" s="38">
        <f t="shared" ref="E95:F95" si="20">(+E$88-E$84+E$80)*0.062</f>
        <v>3255.9021000000002</v>
      </c>
      <c r="F95" s="38">
        <f t="shared" si="20"/>
        <v>2750.4372218602916</v>
      </c>
      <c r="G95" s="38">
        <f t="shared" ref="G95" si="21">(+G$88-G$84+G$80)*0.062</f>
        <v>3656.285824</v>
      </c>
      <c r="H95" s="38"/>
      <c r="I95" s="163">
        <f t="shared" si="17"/>
        <v>13707.42201573095</v>
      </c>
    </row>
    <row r="96" spans="1:9">
      <c r="A96" s="10" t="s">
        <v>30</v>
      </c>
      <c r="B96" s="10" t="s">
        <v>29</v>
      </c>
      <c r="D96" s="38">
        <f>(+D$88-D$84+D$80)*0.0145</f>
        <v>945.96055827620239</v>
      </c>
      <c r="E96" s="38">
        <f t="shared" ref="E96:F96" si="22">(+E$88-E$84+E$80)*0.0145</f>
        <v>761.46097500000008</v>
      </c>
      <c r="F96" s="38">
        <f t="shared" si="22"/>
        <v>643.247414789907</v>
      </c>
      <c r="G96" s="38">
        <f t="shared" ref="G96" si="23">(+G$88-G$84+G$80)*0.0145</f>
        <v>855.09910400000001</v>
      </c>
      <c r="H96" s="38"/>
      <c r="I96" s="163">
        <f t="shared" si="17"/>
        <v>3205.7680520661092</v>
      </c>
    </row>
    <row r="97" spans="1:9">
      <c r="A97" s="10" t="s">
        <v>31</v>
      </c>
      <c r="B97" s="10" t="s">
        <v>32</v>
      </c>
      <c r="D97" s="38">
        <f>(+D$88-D$84+D$80)*0.06</f>
        <v>3914.3195514877339</v>
      </c>
      <c r="E97" s="38">
        <f t="shared" ref="E97:F97" si="24">(+E$88-E$84+E$80)*0.06</f>
        <v>3150.873</v>
      </c>
      <c r="F97" s="38">
        <f t="shared" si="24"/>
        <v>2661.7134405099596</v>
      </c>
      <c r="G97" s="38">
        <f t="shared" ref="G97" si="25">(+G$88-G$84+G$80)*0.06</f>
        <v>3538.3411199999996</v>
      </c>
      <c r="H97" s="38"/>
      <c r="I97" s="163">
        <f t="shared" si="17"/>
        <v>13265.247111997693</v>
      </c>
    </row>
    <row r="98" spans="1:9">
      <c r="A98" s="10" t="s">
        <v>36</v>
      </c>
      <c r="B98" s="10" t="s">
        <v>35</v>
      </c>
      <c r="D98" s="38">
        <f>(+D$88-D$84+D$80)*0.0056</f>
        <v>365.33649147218853</v>
      </c>
      <c r="E98" s="38">
        <f t="shared" ref="E98:F98" si="26">(+E$88-E$84+E$80)*0.0056</f>
        <v>294.08148</v>
      </c>
      <c r="F98" s="38">
        <f t="shared" si="26"/>
        <v>248.42658778092957</v>
      </c>
      <c r="G98" s="38">
        <f t="shared" ref="G98" si="27">(+G$88-G$84+G$80)*0.0056</f>
        <v>330.24517120000002</v>
      </c>
      <c r="H98" s="38"/>
      <c r="I98" s="163">
        <f t="shared" si="17"/>
        <v>1238.0897304531181</v>
      </c>
    </row>
    <row r="99" spans="1:9">
      <c r="A99" s="10" t="s">
        <v>38</v>
      </c>
      <c r="B99" s="10" t="s">
        <v>37</v>
      </c>
      <c r="D99" s="38">
        <f>+D$7*7700*0.0201</f>
        <v>154.77000000000001</v>
      </c>
      <c r="E99" s="38">
        <f t="shared" ref="E99:F99" si="28">+E$7*7700*0.0201</f>
        <v>154.77000000000001</v>
      </c>
      <c r="F99" s="38">
        <f t="shared" si="28"/>
        <v>154.77000000000001</v>
      </c>
      <c r="G99" s="38">
        <f t="shared" ref="G99" si="29">+G$7*7700*0.0201</f>
        <v>309.54000000000002</v>
      </c>
      <c r="H99" s="38"/>
      <c r="I99" s="163">
        <f t="shared" si="17"/>
        <v>773.85000000000014</v>
      </c>
    </row>
    <row r="100" spans="1:9">
      <c r="A100" s="10" t="s">
        <v>83</v>
      </c>
      <c r="B100" s="10" t="s">
        <v>84</v>
      </c>
      <c r="D100" s="38"/>
      <c r="E100" s="38"/>
      <c r="F100" s="38"/>
      <c r="G100" s="38"/>
      <c r="H100" s="38"/>
      <c r="I100" s="163">
        <f t="shared" si="17"/>
        <v>0</v>
      </c>
    </row>
    <row r="101" spans="1:9">
      <c r="A101" s="10" t="s">
        <v>39</v>
      </c>
      <c r="B101" s="10" t="s">
        <v>40</v>
      </c>
      <c r="D101" s="39">
        <f>(+D$88-D$84+D$80)*(0.0024+0.0036+0.0013)</f>
        <v>476.24221209767433</v>
      </c>
      <c r="E101" s="39">
        <f t="shared" ref="E101:F101" si="30">(+E$88-E$84+E$80)*(0.0024+0.0036+0.0013)</f>
        <v>383.35621500000002</v>
      </c>
      <c r="F101" s="39">
        <f t="shared" si="30"/>
        <v>323.84180192871179</v>
      </c>
      <c r="G101" s="39">
        <f t="shared" ref="G101" si="31">(+G$88-G$84+G$80)*(0.0024+0.0036+0.0013)</f>
        <v>430.49816959999998</v>
      </c>
      <c r="H101" s="38"/>
      <c r="I101" s="87">
        <f t="shared" si="17"/>
        <v>1613.9383986263861</v>
      </c>
    </row>
    <row r="102" spans="1:9">
      <c r="B102" s="10" t="s">
        <v>234</v>
      </c>
      <c r="D102" s="38">
        <f t="shared" ref="D102:G102" si="32">SUM(D93:D101)</f>
        <v>13634.308883204456</v>
      </c>
      <c r="E102" s="38">
        <f t="shared" si="32"/>
        <v>11733.32697</v>
      </c>
      <c r="F102" s="38">
        <f t="shared" si="32"/>
        <v>10515.319666869798</v>
      </c>
      <c r="G102" s="38">
        <f t="shared" si="32"/>
        <v>16585.775788800001</v>
      </c>
      <c r="H102" s="38"/>
      <c r="I102" s="40">
        <f>SUM(I93:I101)</f>
        <v>52468.731308874252</v>
      </c>
    </row>
    <row r="103" spans="1:9">
      <c r="D103" s="38"/>
      <c r="E103" s="38"/>
      <c r="F103" s="38"/>
      <c r="G103" s="38"/>
      <c r="H103" s="38"/>
      <c r="I103" s="40"/>
    </row>
    <row r="104" spans="1:9" s="4" customFormat="1" ht="10">
      <c r="A104" s="14"/>
      <c r="B104" s="14" t="s">
        <v>235</v>
      </c>
      <c r="D104" s="40">
        <f t="shared" ref="D104:I104" si="33">SUM(D90+D102)</f>
        <v>78872.968074666685</v>
      </c>
      <c r="E104" s="40">
        <f t="shared" si="33"/>
        <v>64247.876970000005</v>
      </c>
      <c r="F104" s="40">
        <f t="shared" si="33"/>
        <v>54877.210342035796</v>
      </c>
      <c r="G104" s="40">
        <f t="shared" si="33"/>
        <v>75558.127788800004</v>
      </c>
      <c r="H104" s="40"/>
      <c r="I104" s="40">
        <f t="shared" si="33"/>
        <v>273556.18317550252</v>
      </c>
    </row>
    <row r="105" spans="1:9">
      <c r="D105" s="38"/>
      <c r="E105" s="38"/>
      <c r="F105" s="38"/>
      <c r="G105" s="38"/>
      <c r="H105" s="38"/>
      <c r="I105" s="40"/>
    </row>
    <row r="106" spans="1:9">
      <c r="A106" s="10" t="s">
        <v>236</v>
      </c>
      <c r="D106" s="38"/>
      <c r="E106" s="38"/>
      <c r="F106" s="38"/>
      <c r="G106" s="38"/>
      <c r="H106" s="38"/>
      <c r="I106" s="40"/>
    </row>
    <row r="107" spans="1:9">
      <c r="A107" s="10" t="s">
        <v>237</v>
      </c>
      <c r="D107" s="38"/>
      <c r="E107" s="38"/>
      <c r="F107" s="38"/>
      <c r="G107" s="38"/>
      <c r="H107" s="38"/>
      <c r="I107" s="40"/>
    </row>
    <row r="108" spans="1:9">
      <c r="A108" s="10" t="s">
        <v>51</v>
      </c>
      <c r="B108" s="10" t="s">
        <v>50</v>
      </c>
      <c r="D108" s="38">
        <v>45000</v>
      </c>
      <c r="E108" s="38"/>
      <c r="F108" s="38"/>
      <c r="G108" s="38"/>
      <c r="H108" s="38"/>
      <c r="I108" s="163">
        <f t="shared" ref="I108:I121" si="34">SUM(D108:G108)</f>
        <v>45000</v>
      </c>
    </row>
    <row r="109" spans="1:9">
      <c r="A109" s="10" t="s">
        <v>41</v>
      </c>
      <c r="B109" s="10" t="s">
        <v>42</v>
      </c>
      <c r="D109" s="38"/>
      <c r="E109" s="38"/>
      <c r="F109" s="38"/>
      <c r="G109" s="38"/>
      <c r="H109" s="38"/>
      <c r="I109" s="163">
        <f t="shared" si="34"/>
        <v>0</v>
      </c>
    </row>
    <row r="110" spans="1:9">
      <c r="A110" s="10" t="s">
        <v>43</v>
      </c>
      <c r="B110" s="10" t="s">
        <v>238</v>
      </c>
      <c r="D110" s="38">
        <v>2500</v>
      </c>
      <c r="E110" s="38">
        <v>2500</v>
      </c>
      <c r="F110" s="38">
        <v>1000</v>
      </c>
      <c r="G110" s="38">
        <v>1000</v>
      </c>
      <c r="H110" s="38"/>
      <c r="I110" s="163">
        <f t="shared" si="34"/>
        <v>7000</v>
      </c>
    </row>
    <row r="111" spans="1:9">
      <c r="A111" s="10" t="s">
        <v>44</v>
      </c>
      <c r="B111" s="10" t="s">
        <v>45</v>
      </c>
      <c r="D111" s="38"/>
      <c r="E111" s="38"/>
      <c r="F111" s="38"/>
      <c r="G111" s="38"/>
      <c r="H111" s="38"/>
      <c r="I111" s="163">
        <f t="shared" si="34"/>
        <v>0</v>
      </c>
    </row>
    <row r="112" spans="1:9">
      <c r="A112" s="10" t="s">
        <v>46</v>
      </c>
      <c r="B112" s="10" t="s">
        <v>239</v>
      </c>
      <c r="D112" s="38"/>
      <c r="E112" s="38"/>
      <c r="F112" s="38"/>
      <c r="G112" s="38"/>
      <c r="H112" s="38"/>
      <c r="I112" s="163">
        <f t="shared" si="34"/>
        <v>0</v>
      </c>
    </row>
    <row r="113" spans="1:9">
      <c r="A113" s="10" t="s">
        <v>47</v>
      </c>
      <c r="B113" s="10" t="s">
        <v>240</v>
      </c>
      <c r="D113" s="38">
        <v>32500</v>
      </c>
      <c r="F113" s="38"/>
      <c r="G113" s="38"/>
      <c r="H113" s="38"/>
      <c r="I113" s="163">
        <f t="shared" si="34"/>
        <v>32500</v>
      </c>
    </row>
    <row r="114" spans="1:9">
      <c r="A114" s="10" t="s">
        <v>48</v>
      </c>
      <c r="B114" s="10" t="s">
        <v>49</v>
      </c>
      <c r="D114" s="38"/>
      <c r="E114" s="38"/>
      <c r="F114" s="38"/>
      <c r="G114" s="38"/>
      <c r="H114" s="38"/>
      <c r="I114" s="163">
        <f t="shared" si="34"/>
        <v>0</v>
      </c>
    </row>
    <row r="115" spans="1:9">
      <c r="A115" s="10" t="s">
        <v>82</v>
      </c>
      <c r="B115" s="10" t="s">
        <v>166</v>
      </c>
      <c r="D115" s="38"/>
      <c r="E115" s="38"/>
      <c r="F115" s="38"/>
      <c r="G115" s="38"/>
      <c r="H115" s="38"/>
      <c r="I115" s="163">
        <f t="shared" si="34"/>
        <v>0</v>
      </c>
    </row>
    <row r="116" spans="1:9">
      <c r="A116" s="10" t="s">
        <v>104</v>
      </c>
      <c r="B116" s="10" t="s">
        <v>103</v>
      </c>
      <c r="D116" s="38"/>
      <c r="E116" s="38"/>
      <c r="F116" s="38"/>
      <c r="G116" s="38"/>
      <c r="H116" s="38"/>
      <c r="I116" s="163">
        <f t="shared" si="34"/>
        <v>0</v>
      </c>
    </row>
    <row r="117" spans="1:9">
      <c r="A117" s="10" t="s">
        <v>59</v>
      </c>
      <c r="B117" s="10" t="s">
        <v>318</v>
      </c>
      <c r="D117" s="38"/>
      <c r="E117" s="38"/>
      <c r="F117" s="38"/>
      <c r="G117" s="38"/>
      <c r="H117" s="38"/>
      <c r="I117" s="163">
        <f t="shared" si="34"/>
        <v>0</v>
      </c>
    </row>
    <row r="118" spans="1:9">
      <c r="A118" s="10" t="s">
        <v>87</v>
      </c>
      <c r="B118" s="10" t="s">
        <v>88</v>
      </c>
      <c r="D118" s="38"/>
      <c r="E118" s="38"/>
      <c r="F118" s="38"/>
      <c r="G118" s="38"/>
      <c r="H118" s="38"/>
      <c r="I118" s="163">
        <f t="shared" si="34"/>
        <v>0</v>
      </c>
    </row>
    <row r="119" spans="1:9">
      <c r="A119" s="10" t="s">
        <v>89</v>
      </c>
      <c r="B119" s="10" t="s">
        <v>90</v>
      </c>
      <c r="D119" s="38"/>
      <c r="E119" s="38"/>
      <c r="F119" s="38"/>
      <c r="G119" s="38"/>
      <c r="H119" s="38"/>
      <c r="I119" s="163">
        <f t="shared" si="34"/>
        <v>0</v>
      </c>
    </row>
    <row r="120" spans="1:9">
      <c r="A120" s="10" t="s">
        <v>578</v>
      </c>
      <c r="B120" s="10" t="s">
        <v>414</v>
      </c>
      <c r="D120" s="38"/>
      <c r="E120" s="38"/>
      <c r="F120" s="38"/>
      <c r="G120" s="38"/>
      <c r="H120" s="38"/>
      <c r="I120" s="163">
        <f t="shared" si="34"/>
        <v>0</v>
      </c>
    </row>
    <row r="121" spans="1:9">
      <c r="A121" s="10" t="s">
        <v>52</v>
      </c>
      <c r="B121" s="10" t="s">
        <v>53</v>
      </c>
      <c r="D121" s="39"/>
      <c r="E121" s="39"/>
      <c r="F121" s="39"/>
      <c r="G121" s="39"/>
      <c r="H121" s="38"/>
      <c r="I121" s="87">
        <f t="shared" si="34"/>
        <v>0</v>
      </c>
    </row>
    <row r="122" spans="1:9">
      <c r="B122" s="10" t="s">
        <v>241</v>
      </c>
      <c r="D122" s="38">
        <f t="shared" ref="D122:G122" si="35">SUM(D108:D121)</f>
        <v>80000</v>
      </c>
      <c r="E122" s="38">
        <f t="shared" si="35"/>
        <v>2500</v>
      </c>
      <c r="F122" s="38">
        <f t="shared" si="35"/>
        <v>1000</v>
      </c>
      <c r="G122" s="38">
        <f t="shared" si="35"/>
        <v>1000</v>
      </c>
      <c r="H122" s="38"/>
      <c r="I122" s="40">
        <f>SUM(I108:I121)</f>
        <v>84500</v>
      </c>
    </row>
    <row r="123" spans="1:9">
      <c r="D123" s="38"/>
      <c r="E123" s="38"/>
      <c r="F123" s="38"/>
      <c r="G123" s="38"/>
      <c r="H123" s="38"/>
      <c r="I123" s="40"/>
    </row>
    <row r="124" spans="1:9">
      <c r="A124" s="10" t="s">
        <v>242</v>
      </c>
      <c r="D124" s="38"/>
      <c r="E124" s="38"/>
      <c r="F124" s="38"/>
      <c r="G124" s="38"/>
      <c r="H124" s="38"/>
      <c r="I124" s="40"/>
    </row>
    <row r="125" spans="1:9">
      <c r="A125" s="10" t="s">
        <v>56</v>
      </c>
      <c r="B125" s="10" t="s">
        <v>245</v>
      </c>
      <c r="D125" s="38"/>
      <c r="E125" s="38"/>
      <c r="F125" s="38"/>
      <c r="G125" s="38"/>
      <c r="H125" s="38"/>
      <c r="I125" s="163">
        <f t="shared" ref="I125:I132" si="36">SUM(D125:G125)</f>
        <v>0</v>
      </c>
    </row>
    <row r="126" spans="1:9">
      <c r="A126" s="10" t="s">
        <v>57</v>
      </c>
      <c r="B126" s="10" t="s">
        <v>246</v>
      </c>
      <c r="D126" s="38"/>
      <c r="E126" s="38">
        <f>+(17*3)*12</f>
        <v>612</v>
      </c>
      <c r="F126" s="38"/>
      <c r="G126" s="38"/>
      <c r="H126" s="38"/>
      <c r="I126" s="163">
        <f t="shared" si="36"/>
        <v>612</v>
      </c>
    </row>
    <row r="127" spans="1:9">
      <c r="A127" s="10" t="s">
        <v>58</v>
      </c>
      <c r="B127" s="10" t="s">
        <v>247</v>
      </c>
      <c r="D127" s="38"/>
      <c r="E127" s="38"/>
      <c r="F127" s="38"/>
      <c r="G127" s="38"/>
      <c r="H127" s="38"/>
      <c r="I127" s="163">
        <f t="shared" si="36"/>
        <v>0</v>
      </c>
    </row>
    <row r="128" spans="1:9">
      <c r="A128" s="10" t="s">
        <v>55</v>
      </c>
      <c r="B128" s="10" t="s">
        <v>244</v>
      </c>
      <c r="D128" s="38"/>
      <c r="E128" s="38"/>
      <c r="F128" s="38"/>
      <c r="G128" s="38"/>
      <c r="H128" s="38"/>
      <c r="I128" s="163">
        <f t="shared" si="36"/>
        <v>0</v>
      </c>
    </row>
    <row r="129" spans="1:9" ht="10.5" customHeight="1">
      <c r="A129" s="10" t="s">
        <v>54</v>
      </c>
      <c r="B129" s="10" t="s">
        <v>243</v>
      </c>
      <c r="D129" s="38"/>
      <c r="E129" s="38"/>
      <c r="F129" s="38"/>
      <c r="G129" s="38"/>
      <c r="H129" s="38"/>
      <c r="I129" s="163">
        <f t="shared" si="36"/>
        <v>0</v>
      </c>
    </row>
    <row r="130" spans="1:9">
      <c r="A130" s="10" t="s">
        <v>60</v>
      </c>
      <c r="B130" s="10" t="s">
        <v>61</v>
      </c>
      <c r="D130" s="38"/>
      <c r="E130" s="38"/>
      <c r="F130" s="38"/>
      <c r="G130" s="38"/>
      <c r="H130" s="38"/>
      <c r="I130" s="163">
        <f t="shared" si="36"/>
        <v>0</v>
      </c>
    </row>
    <row r="131" spans="1:9">
      <c r="A131" s="56" t="s">
        <v>579</v>
      </c>
      <c r="B131" s="10" t="s">
        <v>412</v>
      </c>
      <c r="D131" s="38"/>
      <c r="E131" s="38"/>
      <c r="F131" s="38"/>
      <c r="G131" s="38"/>
      <c r="H131" s="38"/>
      <c r="I131" s="163">
        <f t="shared" si="36"/>
        <v>0</v>
      </c>
    </row>
    <row r="132" spans="1:9">
      <c r="A132" s="10" t="s">
        <v>62</v>
      </c>
      <c r="B132" s="10" t="s">
        <v>248</v>
      </c>
      <c r="D132" s="39"/>
      <c r="E132" s="39"/>
      <c r="F132" s="39"/>
      <c r="G132" s="39"/>
      <c r="H132" s="38"/>
      <c r="I132" s="87">
        <f t="shared" si="36"/>
        <v>0</v>
      </c>
    </row>
    <row r="133" spans="1:9">
      <c r="B133" s="10" t="s">
        <v>249</v>
      </c>
      <c r="D133" s="38">
        <f t="shared" ref="D133:G133" si="37">SUM(D125:D132)</f>
        <v>0</v>
      </c>
      <c r="E133" s="38">
        <f t="shared" si="37"/>
        <v>612</v>
      </c>
      <c r="F133" s="38">
        <f t="shared" si="37"/>
        <v>0</v>
      </c>
      <c r="G133" s="38">
        <f t="shared" si="37"/>
        <v>0</v>
      </c>
      <c r="H133" s="38"/>
      <c r="I133" s="40">
        <f>SUM(I125:I132)</f>
        <v>612</v>
      </c>
    </row>
    <row r="134" spans="1:9">
      <c r="D134" s="38"/>
      <c r="E134" s="38"/>
      <c r="F134" s="38"/>
      <c r="G134" s="38"/>
      <c r="H134" s="38"/>
      <c r="I134" s="40">
        <f>+SUM(D134:F134)</f>
        <v>0</v>
      </c>
    </row>
    <row r="135" spans="1:9">
      <c r="A135" s="10" t="s">
        <v>250</v>
      </c>
      <c r="D135" s="38"/>
      <c r="E135" s="38"/>
      <c r="F135" s="38"/>
      <c r="G135" s="38"/>
      <c r="H135" s="38"/>
      <c r="I135" s="40"/>
    </row>
    <row r="136" spans="1:9">
      <c r="A136" s="10" t="s">
        <v>251</v>
      </c>
      <c r="D136" s="38"/>
      <c r="E136" s="38"/>
      <c r="F136" s="38"/>
      <c r="G136" s="38"/>
      <c r="H136" s="38"/>
      <c r="I136" s="40"/>
    </row>
    <row r="137" spans="1:9">
      <c r="A137" s="10" t="s">
        <v>63</v>
      </c>
      <c r="B137" s="10" t="s">
        <v>252</v>
      </c>
      <c r="D137" s="38"/>
      <c r="E137" s="38"/>
      <c r="F137" s="38"/>
      <c r="G137" s="38"/>
      <c r="H137" s="38"/>
      <c r="I137" s="163">
        <f>SUM(D137:G137)</f>
        <v>0</v>
      </c>
    </row>
    <row r="138" spans="1:9">
      <c r="A138" s="10" t="s">
        <v>64</v>
      </c>
      <c r="B138" s="10" t="s">
        <v>253</v>
      </c>
      <c r="D138" s="38"/>
      <c r="E138" s="38"/>
      <c r="F138" s="38"/>
      <c r="G138" s="38"/>
      <c r="H138" s="38"/>
      <c r="I138" s="163">
        <f>SUM(D138:G138)</f>
        <v>0</v>
      </c>
    </row>
    <row r="139" spans="1:9">
      <c r="A139" s="10" t="s">
        <v>417</v>
      </c>
      <c r="B139" s="10" t="s">
        <v>418</v>
      </c>
      <c r="D139" s="38"/>
      <c r="E139" s="38"/>
      <c r="F139" s="38"/>
      <c r="G139" s="38"/>
      <c r="H139" s="38"/>
      <c r="I139" s="163">
        <f>SUM(D139:G139)</f>
        <v>0</v>
      </c>
    </row>
    <row r="140" spans="1:9">
      <c r="A140" s="10" t="s">
        <v>65</v>
      </c>
      <c r="B140" s="10" t="s">
        <v>254</v>
      </c>
      <c r="D140" s="39"/>
      <c r="E140" s="39"/>
      <c r="F140" s="39"/>
      <c r="G140" s="39"/>
      <c r="H140" s="38"/>
      <c r="I140" s="87">
        <f>SUM(D140:G140)</f>
        <v>0</v>
      </c>
    </row>
    <row r="141" spans="1:9">
      <c r="B141" s="10" t="s">
        <v>255</v>
      </c>
      <c r="D141" s="38">
        <f t="shared" ref="D141:G141" si="38">SUM(D137:D140)</f>
        <v>0</v>
      </c>
      <c r="E141" s="38">
        <f t="shared" si="38"/>
        <v>0</v>
      </c>
      <c r="F141" s="38">
        <f t="shared" si="38"/>
        <v>0</v>
      </c>
      <c r="G141" s="38">
        <f t="shared" si="38"/>
        <v>0</v>
      </c>
      <c r="H141" s="38"/>
      <c r="I141" s="40">
        <f>SUM(I137:I140)</f>
        <v>0</v>
      </c>
    </row>
    <row r="142" spans="1:9">
      <c r="D142" s="38"/>
      <c r="E142" s="38"/>
      <c r="F142" s="38"/>
      <c r="G142" s="38"/>
      <c r="H142" s="38"/>
      <c r="I142" s="40"/>
    </row>
    <row r="143" spans="1:9">
      <c r="A143" s="10" t="s">
        <v>256</v>
      </c>
      <c r="D143" s="38"/>
      <c r="E143" s="38"/>
      <c r="F143" s="38"/>
      <c r="G143" s="38"/>
      <c r="H143" s="38"/>
      <c r="I143" s="40"/>
    </row>
    <row r="144" spans="1:9">
      <c r="A144" s="10" t="s">
        <v>66</v>
      </c>
      <c r="B144" s="10" t="s">
        <v>257</v>
      </c>
      <c r="D144" s="38"/>
      <c r="E144" s="38"/>
      <c r="F144" s="38"/>
      <c r="G144" s="38"/>
      <c r="H144" s="38"/>
      <c r="I144" s="163">
        <f t="shared" ref="I144:I149" si="39">SUM(D144:G144)</f>
        <v>0</v>
      </c>
    </row>
    <row r="145" spans="1:9">
      <c r="A145" s="10" t="s">
        <v>67</v>
      </c>
      <c r="B145" s="10" t="s">
        <v>258</v>
      </c>
      <c r="D145" s="38"/>
      <c r="E145" s="38"/>
      <c r="F145" s="38"/>
      <c r="G145" s="38"/>
      <c r="H145" s="38"/>
      <c r="I145" s="163">
        <f t="shared" si="39"/>
        <v>0</v>
      </c>
    </row>
    <row r="146" spans="1:9">
      <c r="A146" s="10" t="s">
        <v>68</v>
      </c>
      <c r="B146" s="10" t="s">
        <v>259</v>
      </c>
      <c r="D146" s="38">
        <f>55*12</f>
        <v>660</v>
      </c>
      <c r="E146" s="38"/>
      <c r="F146" s="38"/>
      <c r="G146" s="38"/>
      <c r="H146" s="38"/>
      <c r="I146" s="163">
        <f t="shared" si="39"/>
        <v>660</v>
      </c>
    </row>
    <row r="147" spans="1:9">
      <c r="A147" s="10" t="s">
        <v>69</v>
      </c>
      <c r="B147" s="10" t="s">
        <v>260</v>
      </c>
      <c r="D147" s="38"/>
      <c r="E147" s="38"/>
      <c r="F147" s="38"/>
      <c r="G147" s="38"/>
      <c r="H147" s="38"/>
      <c r="I147" s="163">
        <f t="shared" si="39"/>
        <v>0</v>
      </c>
    </row>
    <row r="148" spans="1:9" ht="12" customHeight="1">
      <c r="A148" s="10" t="s">
        <v>70</v>
      </c>
      <c r="B148" s="10" t="s">
        <v>261</v>
      </c>
      <c r="D148" s="38"/>
      <c r="E148" s="38"/>
      <c r="F148" s="38">
        <f>0.45*12*150</f>
        <v>810</v>
      </c>
      <c r="G148" s="38"/>
      <c r="H148" s="38"/>
      <c r="I148" s="163">
        <f t="shared" si="39"/>
        <v>810</v>
      </c>
    </row>
    <row r="149" spans="1:9">
      <c r="A149" s="10" t="s">
        <v>425</v>
      </c>
      <c r="B149" s="10" t="s">
        <v>427</v>
      </c>
      <c r="D149" s="39"/>
      <c r="E149" s="48">
        <v>3200</v>
      </c>
      <c r="F149" s="39"/>
      <c r="G149" s="39"/>
      <c r="H149" s="38"/>
      <c r="I149" s="87">
        <f t="shared" si="39"/>
        <v>3200</v>
      </c>
    </row>
    <row r="150" spans="1:9">
      <c r="B150" s="10" t="s">
        <v>262</v>
      </c>
      <c r="D150" s="38">
        <f t="shared" ref="D150:G150" si="40">SUM(D144:D149)</f>
        <v>660</v>
      </c>
      <c r="E150" s="38">
        <f t="shared" si="40"/>
        <v>3200</v>
      </c>
      <c r="F150" s="38">
        <f t="shared" si="40"/>
        <v>810</v>
      </c>
      <c r="G150" s="38">
        <f t="shared" si="40"/>
        <v>0</v>
      </c>
      <c r="H150" s="38"/>
      <c r="I150" s="40">
        <f>SUM(I144:I149)</f>
        <v>4670</v>
      </c>
    </row>
    <row r="151" spans="1:9">
      <c r="D151" s="38"/>
      <c r="E151" s="38"/>
      <c r="F151" s="38"/>
      <c r="G151" s="38"/>
      <c r="H151" s="38"/>
      <c r="I151" s="40"/>
    </row>
    <row r="152" spans="1:9">
      <c r="A152" s="10" t="s">
        <v>263</v>
      </c>
      <c r="D152" s="38"/>
      <c r="E152" s="38"/>
      <c r="F152" s="38"/>
      <c r="G152" s="38"/>
      <c r="H152" s="38"/>
      <c r="I152" s="40"/>
    </row>
    <row r="153" spans="1:9">
      <c r="A153" s="10" t="s">
        <v>264</v>
      </c>
      <c r="D153" s="38"/>
      <c r="E153" s="38"/>
      <c r="F153" s="38"/>
      <c r="G153" s="38"/>
      <c r="H153" s="38"/>
      <c r="I153" s="40"/>
    </row>
    <row r="154" spans="1:9">
      <c r="A154" s="10" t="s">
        <v>71</v>
      </c>
      <c r="B154" s="10" t="s">
        <v>72</v>
      </c>
      <c r="D154" s="39">
        <v>1000</v>
      </c>
      <c r="E154" s="39">
        <v>800</v>
      </c>
      <c r="F154" s="39">
        <v>100</v>
      </c>
      <c r="G154" s="39">
        <v>100</v>
      </c>
      <c r="H154" s="38"/>
      <c r="I154" s="87">
        <f>SUM(D154:G154)</f>
        <v>2000</v>
      </c>
    </row>
    <row r="155" spans="1:9">
      <c r="B155" s="10" t="s">
        <v>265</v>
      </c>
      <c r="D155" s="38">
        <f t="shared" ref="D155:G155" si="41">SUM(D154)</f>
        <v>1000</v>
      </c>
      <c r="E155" s="38">
        <f t="shared" si="41"/>
        <v>800</v>
      </c>
      <c r="F155" s="38">
        <f t="shared" si="41"/>
        <v>100</v>
      </c>
      <c r="G155" s="38">
        <f t="shared" si="41"/>
        <v>100</v>
      </c>
      <c r="H155" s="38"/>
      <c r="I155" s="40">
        <f>SUM(I154)</f>
        <v>2000</v>
      </c>
    </row>
    <row r="156" spans="1:9">
      <c r="D156" s="38"/>
      <c r="E156" s="38"/>
      <c r="F156" s="38"/>
      <c r="G156" s="38"/>
      <c r="H156" s="38"/>
      <c r="I156" s="40"/>
    </row>
    <row r="157" spans="1:9">
      <c r="A157" s="10" t="s">
        <v>266</v>
      </c>
      <c r="D157" s="38"/>
      <c r="E157" s="38"/>
      <c r="F157" s="38"/>
      <c r="G157" s="38"/>
      <c r="H157" s="38"/>
      <c r="I157" s="40"/>
    </row>
    <row r="158" spans="1:9">
      <c r="A158" s="10" t="s">
        <v>73</v>
      </c>
      <c r="B158" s="10" t="s">
        <v>74</v>
      </c>
      <c r="D158" s="38">
        <v>600</v>
      </c>
      <c r="E158" s="38">
        <v>350</v>
      </c>
      <c r="F158" s="38">
        <v>600</v>
      </c>
      <c r="G158" s="38">
        <v>200</v>
      </c>
      <c r="H158" s="38"/>
      <c r="I158" s="163">
        <f t="shared" ref="I158:I170" si="42">SUM(D158:G158)</f>
        <v>1750</v>
      </c>
    </row>
    <row r="159" spans="1:9">
      <c r="A159" s="10" t="s">
        <v>75</v>
      </c>
      <c r="B159" s="10" t="s">
        <v>154</v>
      </c>
      <c r="D159" s="38"/>
      <c r="E159" s="47">
        <v>6000</v>
      </c>
      <c r="F159" s="38"/>
      <c r="G159" s="38"/>
      <c r="H159" s="38"/>
      <c r="I159" s="163">
        <f t="shared" si="42"/>
        <v>6000</v>
      </c>
    </row>
    <row r="160" spans="1:9">
      <c r="A160" s="10" t="s">
        <v>419</v>
      </c>
      <c r="B160" s="10" t="s">
        <v>97</v>
      </c>
      <c r="D160" s="38"/>
      <c r="E160" s="38"/>
      <c r="F160" s="38"/>
      <c r="G160" s="38"/>
      <c r="H160" s="38"/>
      <c r="I160" s="163">
        <f t="shared" si="42"/>
        <v>0</v>
      </c>
    </row>
    <row r="161" spans="1:9">
      <c r="A161" s="10" t="s">
        <v>420</v>
      </c>
      <c r="B161" s="10" t="s">
        <v>421</v>
      </c>
      <c r="D161" s="38"/>
      <c r="E161" s="38"/>
      <c r="F161" s="38"/>
      <c r="G161" s="38"/>
      <c r="H161" s="38"/>
      <c r="I161" s="163">
        <f t="shared" si="42"/>
        <v>0</v>
      </c>
    </row>
    <row r="162" spans="1:9">
      <c r="A162" s="10" t="s">
        <v>422</v>
      </c>
      <c r="B162" s="10" t="s">
        <v>423</v>
      </c>
      <c r="D162" s="38">
        <v>2500</v>
      </c>
      <c r="E162" s="38"/>
      <c r="F162" s="38">
        <v>1250</v>
      </c>
      <c r="G162" s="38">
        <v>1250</v>
      </c>
      <c r="H162" s="38"/>
      <c r="I162" s="163">
        <f t="shared" si="42"/>
        <v>5000</v>
      </c>
    </row>
    <row r="163" spans="1:9">
      <c r="A163" s="10" t="s">
        <v>415</v>
      </c>
      <c r="B163" s="10" t="s">
        <v>416</v>
      </c>
      <c r="D163" s="38"/>
      <c r="E163" s="38"/>
      <c r="F163" s="38"/>
      <c r="G163" s="38"/>
      <c r="H163" s="38"/>
      <c r="I163" s="163">
        <f t="shared" si="42"/>
        <v>0</v>
      </c>
    </row>
    <row r="164" spans="1:9">
      <c r="A164" s="10" t="s">
        <v>76</v>
      </c>
      <c r="B164" s="10" t="s">
        <v>155</v>
      </c>
      <c r="D164" s="38"/>
      <c r="E164" s="38"/>
      <c r="F164" s="38"/>
      <c r="G164" s="38"/>
      <c r="H164" s="38"/>
      <c r="I164" s="163">
        <f t="shared" si="42"/>
        <v>0</v>
      </c>
    </row>
    <row r="165" spans="1:9">
      <c r="A165" s="10" t="s">
        <v>79</v>
      </c>
      <c r="B165" s="10" t="s">
        <v>156</v>
      </c>
      <c r="D165" s="38"/>
      <c r="E165" s="38"/>
      <c r="F165" s="38"/>
      <c r="G165" s="38"/>
      <c r="H165" s="38"/>
      <c r="I165" s="163">
        <f t="shared" si="42"/>
        <v>0</v>
      </c>
    </row>
    <row r="166" spans="1:9">
      <c r="A166" s="10" t="s">
        <v>78</v>
      </c>
      <c r="B166" s="10" t="s">
        <v>157</v>
      </c>
      <c r="D166" s="38"/>
      <c r="E166" s="38"/>
      <c r="F166" s="38"/>
      <c r="G166" s="38"/>
      <c r="H166" s="38"/>
      <c r="I166" s="163">
        <f t="shared" si="42"/>
        <v>0</v>
      </c>
    </row>
    <row r="167" spans="1:9">
      <c r="A167" s="10" t="s">
        <v>77</v>
      </c>
      <c r="B167" s="10" t="s">
        <v>158</v>
      </c>
      <c r="D167" s="38"/>
      <c r="E167" s="38"/>
      <c r="F167" s="38"/>
      <c r="G167" s="38"/>
      <c r="H167" s="38"/>
      <c r="I167" s="163">
        <f t="shared" si="42"/>
        <v>0</v>
      </c>
    </row>
    <row r="168" spans="1:9">
      <c r="A168" s="10" t="s">
        <v>80</v>
      </c>
      <c r="B168" s="10" t="s">
        <v>159</v>
      </c>
      <c r="D168" s="38"/>
      <c r="E168" s="38"/>
      <c r="F168" s="38"/>
      <c r="G168" s="38"/>
      <c r="H168" s="38"/>
      <c r="I168" s="163">
        <f t="shared" si="42"/>
        <v>0</v>
      </c>
    </row>
    <row r="169" spans="1:9">
      <c r="A169" s="10" t="s">
        <v>81</v>
      </c>
      <c r="B169" s="10" t="s">
        <v>160</v>
      </c>
      <c r="D169" s="38"/>
      <c r="E169" s="38"/>
      <c r="F169" s="38"/>
      <c r="G169" s="38"/>
      <c r="H169" s="38"/>
      <c r="I169" s="163">
        <f t="shared" si="42"/>
        <v>0</v>
      </c>
    </row>
    <row r="170" spans="1:9">
      <c r="A170" s="10" t="s">
        <v>161</v>
      </c>
      <c r="B170" s="10" t="s">
        <v>162</v>
      </c>
      <c r="D170" s="39"/>
      <c r="E170" s="39"/>
      <c r="F170" s="39"/>
      <c r="G170" s="39"/>
      <c r="H170" s="38"/>
      <c r="I170" s="87">
        <f t="shared" si="42"/>
        <v>0</v>
      </c>
    </row>
    <row r="171" spans="1:9">
      <c r="B171" s="10" t="s">
        <v>163</v>
      </c>
      <c r="D171" s="38">
        <f t="shared" ref="D171:G171" si="43">SUM(D158:D170)</f>
        <v>3100</v>
      </c>
      <c r="E171" s="38">
        <f t="shared" si="43"/>
        <v>6350</v>
      </c>
      <c r="F171" s="38">
        <f t="shared" si="43"/>
        <v>1850</v>
      </c>
      <c r="G171" s="38">
        <f t="shared" si="43"/>
        <v>1450</v>
      </c>
      <c r="H171" s="38"/>
      <c r="I171" s="40">
        <f>SUM(I158:I170)</f>
        <v>12750</v>
      </c>
    </row>
    <row r="172" spans="1:9">
      <c r="D172" s="38"/>
      <c r="E172" s="38"/>
      <c r="F172" s="38"/>
      <c r="G172" s="38"/>
      <c r="H172" s="38"/>
      <c r="I172" s="40"/>
    </row>
    <row r="173" spans="1:9">
      <c r="A173" s="10" t="s">
        <v>164</v>
      </c>
      <c r="D173" s="38"/>
      <c r="E173" s="38"/>
      <c r="F173" s="38"/>
      <c r="G173" s="38"/>
      <c r="H173" s="38"/>
      <c r="I173" s="40"/>
    </row>
    <row r="174" spans="1:9">
      <c r="A174" s="10" t="s">
        <v>165</v>
      </c>
      <c r="D174" s="38"/>
      <c r="E174" s="38"/>
      <c r="F174" s="38"/>
      <c r="G174" s="38"/>
      <c r="H174" s="38"/>
      <c r="I174" s="40"/>
    </row>
    <row r="175" spans="1:9">
      <c r="A175" s="10" t="s">
        <v>86</v>
      </c>
      <c r="B175" s="10" t="s">
        <v>85</v>
      </c>
      <c r="D175" s="38"/>
      <c r="E175" s="38">
        <f t="shared" ref="E175" si="44">1000*12+300</f>
        <v>12300</v>
      </c>
      <c r="F175" s="38"/>
      <c r="G175" s="38"/>
      <c r="H175" s="38"/>
      <c r="I175" s="163">
        <f t="shared" ref="I175:I185" si="45">SUM(D175:G175)</f>
        <v>12300</v>
      </c>
    </row>
    <row r="176" spans="1:9">
      <c r="A176" s="10" t="s">
        <v>91</v>
      </c>
      <c r="B176" s="10" t="s">
        <v>92</v>
      </c>
      <c r="D176" s="38"/>
      <c r="E176" s="38"/>
      <c r="F176" s="38"/>
      <c r="G176" s="38"/>
      <c r="H176" s="38"/>
      <c r="I176" s="163">
        <f t="shared" si="45"/>
        <v>0</v>
      </c>
    </row>
    <row r="177" spans="1:9">
      <c r="A177" s="10" t="s">
        <v>93</v>
      </c>
      <c r="B177" s="10" t="s">
        <v>94</v>
      </c>
      <c r="D177" s="38"/>
      <c r="E177" s="38"/>
      <c r="F177" s="38"/>
      <c r="G177" s="38"/>
      <c r="H177" s="38"/>
      <c r="I177" s="163">
        <f t="shared" si="45"/>
        <v>0</v>
      </c>
    </row>
    <row r="178" spans="1:9">
      <c r="A178" s="10" t="s">
        <v>95</v>
      </c>
      <c r="B178" s="10" t="s">
        <v>405</v>
      </c>
      <c r="D178" s="38"/>
      <c r="E178" s="38"/>
      <c r="F178" s="38"/>
      <c r="G178" s="38"/>
      <c r="H178" s="38"/>
      <c r="I178" s="163">
        <f t="shared" si="45"/>
        <v>0</v>
      </c>
    </row>
    <row r="179" spans="1:9">
      <c r="A179" s="10" t="s">
        <v>96</v>
      </c>
      <c r="B179" s="10" t="s">
        <v>404</v>
      </c>
      <c r="D179" s="38"/>
      <c r="E179" s="38"/>
      <c r="F179" s="38"/>
      <c r="G179" s="38"/>
      <c r="H179" s="38"/>
      <c r="I179" s="163">
        <f t="shared" si="45"/>
        <v>0</v>
      </c>
    </row>
    <row r="180" spans="1:9">
      <c r="A180" s="10" t="s">
        <v>98</v>
      </c>
      <c r="B180" s="10" t="s">
        <v>99</v>
      </c>
      <c r="D180" s="38"/>
      <c r="E180" s="38"/>
      <c r="F180" s="38"/>
      <c r="G180" s="38"/>
      <c r="H180" s="38"/>
      <c r="I180" s="163">
        <f t="shared" si="45"/>
        <v>0</v>
      </c>
    </row>
    <row r="181" spans="1:9">
      <c r="A181" s="10" t="s">
        <v>100</v>
      </c>
      <c r="B181" s="10" t="s">
        <v>284</v>
      </c>
      <c r="D181" s="38"/>
      <c r="E181" s="38"/>
      <c r="F181" s="38"/>
      <c r="G181" s="38"/>
      <c r="H181" s="38"/>
      <c r="I181" s="163">
        <f t="shared" si="45"/>
        <v>0</v>
      </c>
    </row>
    <row r="182" spans="1:9">
      <c r="A182" s="10" t="s">
        <v>101</v>
      </c>
      <c r="B182" s="10" t="s">
        <v>102</v>
      </c>
      <c r="D182" s="38"/>
      <c r="E182" s="38"/>
      <c r="F182" s="38"/>
      <c r="G182" s="38"/>
      <c r="H182" s="38"/>
      <c r="I182" s="163">
        <f t="shared" si="45"/>
        <v>0</v>
      </c>
    </row>
    <row r="183" spans="1:9">
      <c r="A183" s="10" t="s">
        <v>105</v>
      </c>
      <c r="B183" s="10" t="s">
        <v>167</v>
      </c>
      <c r="D183" s="38"/>
      <c r="E183" s="38"/>
      <c r="F183" s="38"/>
      <c r="G183" s="38"/>
      <c r="H183" s="38"/>
      <c r="I183" s="163">
        <f t="shared" si="45"/>
        <v>0</v>
      </c>
    </row>
    <row r="184" spans="1:9">
      <c r="A184" s="10" t="s">
        <v>106</v>
      </c>
      <c r="B184" s="10" t="s">
        <v>107</v>
      </c>
      <c r="D184" s="38"/>
      <c r="E184" s="38"/>
      <c r="F184" s="38"/>
      <c r="G184" s="38"/>
      <c r="H184" s="38"/>
      <c r="I184" s="163">
        <f t="shared" si="45"/>
        <v>0</v>
      </c>
    </row>
    <row r="185" spans="1:9">
      <c r="A185" s="10" t="s">
        <v>580</v>
      </c>
      <c r="B185" s="10" t="s">
        <v>429</v>
      </c>
      <c r="D185" s="39"/>
      <c r="E185" s="39"/>
      <c r="F185" s="39"/>
      <c r="G185" s="39"/>
      <c r="H185" s="38"/>
      <c r="I185" s="87">
        <f t="shared" si="45"/>
        <v>0</v>
      </c>
    </row>
    <row r="186" spans="1:9">
      <c r="B186" s="10" t="s">
        <v>168</v>
      </c>
      <c r="D186" s="38">
        <f t="shared" ref="D186:G186" si="46">SUM(D175:D185)</f>
        <v>0</v>
      </c>
      <c r="E186" s="38">
        <f t="shared" si="46"/>
        <v>12300</v>
      </c>
      <c r="F186" s="38">
        <f t="shared" si="46"/>
        <v>0</v>
      </c>
      <c r="G186" s="38">
        <f t="shared" si="46"/>
        <v>0</v>
      </c>
      <c r="H186" s="38"/>
      <c r="I186" s="40">
        <f>SUM(I175:I185)</f>
        <v>12300</v>
      </c>
    </row>
    <row r="187" spans="1:9">
      <c r="D187" s="38"/>
      <c r="E187" s="38"/>
      <c r="F187" s="38"/>
      <c r="G187" s="38"/>
      <c r="H187" s="38"/>
      <c r="I187" s="40"/>
    </row>
    <row r="188" spans="1:9">
      <c r="D188" s="38"/>
      <c r="E188" s="38"/>
      <c r="F188" s="38"/>
      <c r="G188" s="38"/>
      <c r="H188" s="38"/>
      <c r="I188" s="40"/>
    </row>
    <row r="189" spans="1:9" s="4" customFormat="1" ht="10">
      <c r="A189" s="14"/>
      <c r="B189" s="14" t="s">
        <v>169</v>
      </c>
      <c r="D189" s="40">
        <f>+D122+D133+D141+D150+D155+D171+D186</f>
        <v>84760</v>
      </c>
      <c r="E189" s="40">
        <f>+E122+E133+E141+E150+E155+E171+E186</f>
        <v>25762</v>
      </c>
      <c r="F189" s="40">
        <f>+F122+F133+F141+F150+F155+F171+F186</f>
        <v>3760</v>
      </c>
      <c r="G189" s="40">
        <f>+G122+G133+G141+G150+G155+G171+G186</f>
        <v>2550</v>
      </c>
      <c r="H189" s="40"/>
      <c r="I189" s="40">
        <f>+I122+I133+I141+I150+I155+I171+I186</f>
        <v>116832</v>
      </c>
    </row>
    <row r="190" spans="1:9">
      <c r="D190" s="38"/>
      <c r="E190" s="38"/>
      <c r="F190" s="38"/>
      <c r="G190" s="38"/>
      <c r="H190" s="38"/>
      <c r="I190" s="40"/>
    </row>
    <row r="191" spans="1:9">
      <c r="D191" s="40">
        <f t="shared" ref="D191:I191" si="47">SUM(D104+D189)</f>
        <v>163632.96807466669</v>
      </c>
      <c r="E191" s="40">
        <f t="shared" si="47"/>
        <v>90009.876970000012</v>
      </c>
      <c r="F191" s="40">
        <f t="shared" si="47"/>
        <v>58637.210342035796</v>
      </c>
      <c r="G191" s="40">
        <f t="shared" si="47"/>
        <v>78108.127788800004</v>
      </c>
      <c r="H191" s="38"/>
      <c r="I191" s="40">
        <f t="shared" si="47"/>
        <v>390388.18317550252</v>
      </c>
    </row>
    <row r="192" spans="1:9">
      <c r="D192" s="38"/>
      <c r="E192" s="38"/>
      <c r="F192" s="38"/>
      <c r="G192" s="38"/>
      <c r="H192" s="38"/>
      <c r="I192" s="40"/>
    </row>
    <row r="193" spans="1:9" s="4" customFormat="1" ht="10">
      <c r="A193" s="14">
        <f>+SUM(D193:G193)</f>
        <v>-384988.18317550246</v>
      </c>
      <c r="B193" s="14" t="s">
        <v>170</v>
      </c>
      <c r="D193" s="40">
        <f t="shared" ref="D193:G193" si="48">SUM(D68-D104-D189)</f>
        <v>-158232.96807466669</v>
      </c>
      <c r="E193" s="40">
        <f t="shared" si="48"/>
        <v>-90009.876970000012</v>
      </c>
      <c r="F193" s="40">
        <f t="shared" si="48"/>
        <v>-58637.210342035796</v>
      </c>
      <c r="G193" s="40">
        <f t="shared" si="48"/>
        <v>-78108.127788800004</v>
      </c>
      <c r="H193" s="40"/>
      <c r="I193" s="40">
        <f>SUM(I68-I104-I189)</f>
        <v>-384988.18317550252</v>
      </c>
    </row>
  </sheetData>
  <phoneticPr fontId="0" type="noConversion"/>
  <pageMargins left="0.18" right="0.17" top="1.34" bottom="0.43" header="0.17" footer="0.17"/>
  <pageSetup orientation="portrait"/>
  <headerFooter alignWithMargins="0">
    <oddHeader>&amp;C&amp;"MS Sans Serif,Bold"&amp;18ISL
BUDGET '13-2014
BUSINESS OFFICE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2:I196"/>
  <sheetViews>
    <sheetView topLeftCell="A4" workbookViewId="0">
      <pane xSplit="2" ySplit="7" topLeftCell="C158" activePane="bottomRight" state="frozen"/>
      <selection activeCell="A4" sqref="A4"/>
      <selection pane="topRight" activeCell="C4" sqref="C4"/>
      <selection pane="bottomLeft" activeCell="A11" sqref="A11"/>
      <selection pane="bottomRight" activeCell="E164" sqref="E164"/>
    </sheetView>
  </sheetViews>
  <sheetFormatPr baseColWidth="10" defaultColWidth="11.42578125" defaultRowHeight="10" x14ac:dyDescent="0"/>
  <cols>
    <col min="1" max="1" width="15" style="31" customWidth="1"/>
    <col min="2" max="2" width="26.85546875" style="31" customWidth="1"/>
    <col min="3" max="6" width="11.42578125" style="1"/>
    <col min="7" max="7" width="3" style="1" customWidth="1"/>
    <col min="8" max="8" width="11.42578125" style="40"/>
    <col min="9" max="16384" width="11.42578125" style="1"/>
  </cols>
  <sheetData>
    <row r="2" spans="1:8">
      <c r="B2" s="30" t="s">
        <v>614</v>
      </c>
    </row>
    <row r="3" spans="1:8">
      <c r="B3" s="174" t="s">
        <v>584</v>
      </c>
    </row>
    <row r="4" spans="1:8">
      <c r="A4" s="31" t="s">
        <v>433</v>
      </c>
      <c r="B4" s="32">
        <v>490</v>
      </c>
    </row>
    <row r="5" spans="1:8">
      <c r="A5" s="31" t="s">
        <v>586</v>
      </c>
      <c r="B5" s="32">
        <v>150</v>
      </c>
    </row>
    <row r="6" spans="1:8">
      <c r="A6" s="31" t="s">
        <v>434</v>
      </c>
      <c r="B6" s="32">
        <v>215</v>
      </c>
    </row>
    <row r="7" spans="1:8" s="8" customFormat="1">
      <c r="A7" s="28" t="s">
        <v>587</v>
      </c>
      <c r="B7" s="32">
        <v>400</v>
      </c>
      <c r="C7" s="55">
        <v>1</v>
      </c>
      <c r="D7" s="55">
        <v>4</v>
      </c>
      <c r="E7" s="55">
        <v>2</v>
      </c>
      <c r="F7" s="55">
        <v>4</v>
      </c>
      <c r="H7" s="40"/>
    </row>
    <row r="8" spans="1:8">
      <c r="B8" s="175">
        <f>SUM(B4:B7)</f>
        <v>1255</v>
      </c>
    </row>
    <row r="9" spans="1:8">
      <c r="C9" s="1" t="s">
        <v>190</v>
      </c>
      <c r="D9" s="1" t="s">
        <v>600</v>
      </c>
      <c r="E9" s="1" t="s">
        <v>601</v>
      </c>
      <c r="F9" s="1" t="s">
        <v>602</v>
      </c>
    </row>
    <row r="10" spans="1:8" s="7" customFormat="1" ht="11" thickBot="1">
      <c r="A10" s="33"/>
      <c r="B10" s="33" t="s">
        <v>174</v>
      </c>
      <c r="C10" s="7">
        <v>3100</v>
      </c>
      <c r="D10" s="7">
        <v>3100</v>
      </c>
      <c r="E10" s="7">
        <v>3100</v>
      </c>
      <c r="F10" s="7">
        <v>3100</v>
      </c>
      <c r="H10" s="178"/>
    </row>
    <row r="11" spans="1:8">
      <c r="A11" s="31" t="s">
        <v>268</v>
      </c>
    </row>
    <row r="12" spans="1:8">
      <c r="A12" s="31" t="s">
        <v>269</v>
      </c>
    </row>
    <row r="13" spans="1:8">
      <c r="A13" s="31" t="s">
        <v>171</v>
      </c>
      <c r="B13" s="31" t="s">
        <v>270</v>
      </c>
      <c r="C13" s="38"/>
      <c r="D13" s="38"/>
      <c r="E13" s="38"/>
      <c r="F13" s="38"/>
      <c r="G13" s="38"/>
      <c r="H13" s="40">
        <f t="shared" ref="H13:H37" si="0">+SUM(C13:G13)</f>
        <v>0</v>
      </c>
    </row>
    <row r="14" spans="1:8">
      <c r="A14" s="31" t="s">
        <v>172</v>
      </c>
      <c r="B14" s="31" t="s">
        <v>271</v>
      </c>
      <c r="C14" s="38"/>
      <c r="D14" s="38"/>
      <c r="E14" s="38"/>
      <c r="F14" s="38"/>
      <c r="G14" s="38"/>
      <c r="H14" s="40">
        <f t="shared" si="0"/>
        <v>0</v>
      </c>
    </row>
    <row r="15" spans="1:8">
      <c r="A15" s="31" t="s">
        <v>173</v>
      </c>
      <c r="B15" s="31" t="s">
        <v>272</v>
      </c>
      <c r="C15" s="38"/>
      <c r="D15" s="38"/>
      <c r="E15" s="38"/>
      <c r="F15" s="38"/>
      <c r="G15" s="38"/>
      <c r="H15" s="40">
        <f t="shared" si="0"/>
        <v>0</v>
      </c>
    </row>
    <row r="16" spans="1:8">
      <c r="A16" s="31" t="s">
        <v>193</v>
      </c>
      <c r="B16" s="31" t="s">
        <v>273</v>
      </c>
      <c r="C16" s="38"/>
      <c r="D16" s="38">
        <f>100000/625*SUM!B4</f>
        <v>102400</v>
      </c>
      <c r="E16" s="38">
        <f>100000/625*SUM!B6</f>
        <v>34400</v>
      </c>
      <c r="F16" s="38">
        <f>100000/625*SUM!B7</f>
        <v>64000</v>
      </c>
      <c r="G16" s="38"/>
      <c r="H16" s="40">
        <f t="shared" si="0"/>
        <v>200800</v>
      </c>
    </row>
    <row r="17" spans="1:8">
      <c r="A17" s="31" t="s">
        <v>194</v>
      </c>
      <c r="B17" s="31" t="s">
        <v>274</v>
      </c>
      <c r="C17" s="38"/>
      <c r="D17" s="38"/>
      <c r="E17" s="38"/>
      <c r="F17" s="38"/>
      <c r="G17" s="38"/>
      <c r="H17" s="40">
        <f t="shared" si="0"/>
        <v>0</v>
      </c>
    </row>
    <row r="18" spans="1:8">
      <c r="A18" s="31" t="s">
        <v>195</v>
      </c>
      <c r="B18" s="31" t="s">
        <v>275</v>
      </c>
      <c r="C18" s="38"/>
      <c r="D18" s="38"/>
      <c r="E18" s="38"/>
      <c r="F18" s="38"/>
      <c r="G18" s="38"/>
      <c r="H18" s="40">
        <f t="shared" si="0"/>
        <v>0</v>
      </c>
    </row>
    <row r="19" spans="1:8">
      <c r="A19" s="31" t="s">
        <v>196</v>
      </c>
      <c r="B19" s="31" t="s">
        <v>276</v>
      </c>
      <c r="C19" s="38"/>
      <c r="D19" s="38"/>
      <c r="E19" s="38"/>
      <c r="F19" s="38"/>
      <c r="G19" s="38"/>
      <c r="H19" s="40">
        <f t="shared" si="0"/>
        <v>0</v>
      </c>
    </row>
    <row r="20" spans="1:8">
      <c r="A20" s="31" t="s">
        <v>197</v>
      </c>
      <c r="B20" s="31" t="s">
        <v>277</v>
      </c>
      <c r="C20" s="38"/>
      <c r="D20" s="38"/>
      <c r="E20" s="38"/>
      <c r="F20" s="38"/>
      <c r="G20" s="38"/>
      <c r="H20" s="40">
        <f t="shared" si="0"/>
        <v>0</v>
      </c>
    </row>
    <row r="21" spans="1:8">
      <c r="A21" s="31" t="s">
        <v>198</v>
      </c>
      <c r="B21" s="31" t="s">
        <v>278</v>
      </c>
      <c r="C21" s="38"/>
      <c r="D21" s="38"/>
      <c r="E21" s="38"/>
      <c r="F21" s="38"/>
      <c r="G21" s="38"/>
      <c r="H21" s="40">
        <f t="shared" si="0"/>
        <v>0</v>
      </c>
    </row>
    <row r="22" spans="1:8">
      <c r="A22" s="31" t="s">
        <v>199</v>
      </c>
      <c r="B22" s="31" t="s">
        <v>279</v>
      </c>
      <c r="C22" s="38"/>
      <c r="D22" s="38"/>
      <c r="E22" s="38"/>
      <c r="F22" s="38"/>
      <c r="G22" s="38"/>
      <c r="H22" s="40">
        <f t="shared" si="0"/>
        <v>0</v>
      </c>
    </row>
    <row r="23" spans="1:8">
      <c r="A23" s="31" t="s">
        <v>200</v>
      </c>
      <c r="B23" s="31" t="s">
        <v>280</v>
      </c>
      <c r="C23" s="38"/>
      <c r="D23" s="38"/>
      <c r="E23" s="38"/>
      <c r="F23" s="38"/>
      <c r="G23" s="38"/>
      <c r="H23" s="40">
        <f t="shared" si="0"/>
        <v>0</v>
      </c>
    </row>
    <row r="24" spans="1:8">
      <c r="A24" s="31" t="s">
        <v>201</v>
      </c>
      <c r="B24" s="31" t="s">
        <v>281</v>
      </c>
      <c r="C24" s="38"/>
      <c r="D24" s="38"/>
      <c r="E24" s="38"/>
      <c r="F24" s="38"/>
      <c r="G24" s="38"/>
      <c r="H24" s="40">
        <f t="shared" si="0"/>
        <v>0</v>
      </c>
    </row>
    <row r="25" spans="1:8">
      <c r="A25" s="31" t="s">
        <v>202</v>
      </c>
      <c r="B25" s="31" t="s">
        <v>282</v>
      </c>
      <c r="C25" s="38"/>
      <c r="D25" s="38"/>
      <c r="E25" s="38"/>
      <c r="F25" s="38"/>
      <c r="G25" s="38"/>
      <c r="H25" s="40">
        <f t="shared" si="0"/>
        <v>0</v>
      </c>
    </row>
    <row r="26" spans="1:8">
      <c r="A26" s="31" t="s">
        <v>203</v>
      </c>
      <c r="B26" s="31" t="s">
        <v>283</v>
      </c>
      <c r="C26" s="38"/>
      <c r="D26" s="38"/>
      <c r="E26" s="38"/>
      <c r="F26" s="38"/>
      <c r="G26" s="38"/>
      <c r="H26" s="40">
        <f t="shared" si="0"/>
        <v>0</v>
      </c>
    </row>
    <row r="27" spans="1:8">
      <c r="A27" s="31" t="s">
        <v>204</v>
      </c>
      <c r="B27" s="31" t="s">
        <v>284</v>
      </c>
      <c r="C27" s="38"/>
      <c r="D27" s="38"/>
      <c r="E27" s="38"/>
      <c r="F27" s="38"/>
      <c r="G27" s="38"/>
      <c r="H27" s="40">
        <f t="shared" si="0"/>
        <v>0</v>
      </c>
    </row>
    <row r="28" spans="1:8">
      <c r="A28" s="31" t="s">
        <v>205</v>
      </c>
      <c r="B28" s="31" t="s">
        <v>285</v>
      </c>
      <c r="C28" s="38"/>
      <c r="D28" s="38"/>
      <c r="E28" s="38"/>
      <c r="F28" s="38"/>
      <c r="G28" s="38"/>
      <c r="H28" s="40">
        <f t="shared" si="0"/>
        <v>0</v>
      </c>
    </row>
    <row r="29" spans="1:8">
      <c r="A29" s="31" t="s">
        <v>206</v>
      </c>
      <c r="B29" s="31" t="s">
        <v>286</v>
      </c>
      <c r="C29" s="38"/>
      <c r="D29" s="38"/>
      <c r="E29" s="38"/>
      <c r="F29" s="38"/>
      <c r="G29" s="38"/>
      <c r="H29" s="40">
        <f t="shared" si="0"/>
        <v>0</v>
      </c>
    </row>
    <row r="30" spans="1:8">
      <c r="A30" s="31" t="s">
        <v>208</v>
      </c>
      <c r="B30" s="31" t="s">
        <v>287</v>
      </c>
      <c r="C30" s="38"/>
      <c r="D30" s="38"/>
      <c r="E30" s="38"/>
      <c r="F30" s="38"/>
      <c r="G30" s="38"/>
      <c r="H30" s="40">
        <f t="shared" si="0"/>
        <v>0</v>
      </c>
    </row>
    <row r="31" spans="1:8">
      <c r="A31" s="31" t="s">
        <v>207</v>
      </c>
      <c r="B31" s="31" t="s">
        <v>288</v>
      </c>
      <c r="C31" s="38"/>
      <c r="D31" s="38"/>
      <c r="E31" s="38"/>
      <c r="F31" s="38"/>
      <c r="G31" s="38"/>
      <c r="H31" s="40">
        <f t="shared" si="0"/>
        <v>0</v>
      </c>
    </row>
    <row r="32" spans="1:8">
      <c r="A32" s="31" t="s">
        <v>209</v>
      </c>
      <c r="B32" s="31" t="s">
        <v>210</v>
      </c>
      <c r="C32" s="38"/>
      <c r="D32" s="38"/>
      <c r="E32" s="38"/>
      <c r="F32" s="38"/>
      <c r="G32" s="38"/>
      <c r="H32" s="40">
        <f t="shared" si="0"/>
        <v>0</v>
      </c>
    </row>
    <row r="33" spans="1:8">
      <c r="A33" s="31" t="s">
        <v>213</v>
      </c>
      <c r="B33" s="31" t="s">
        <v>214</v>
      </c>
      <c r="C33" s="38"/>
      <c r="D33" s="38"/>
      <c r="E33" s="38"/>
      <c r="F33" s="38"/>
      <c r="G33" s="38"/>
      <c r="H33" s="40">
        <f t="shared" si="0"/>
        <v>0</v>
      </c>
    </row>
    <row r="34" spans="1:8">
      <c r="A34" s="31" t="s">
        <v>212</v>
      </c>
      <c r="B34" s="31" t="s">
        <v>289</v>
      </c>
      <c r="C34" s="38"/>
      <c r="D34" s="38"/>
      <c r="E34" s="38"/>
      <c r="F34" s="38"/>
      <c r="G34" s="38"/>
      <c r="H34" s="40">
        <f t="shared" si="0"/>
        <v>0</v>
      </c>
    </row>
    <row r="35" spans="1:8">
      <c r="A35" s="31" t="s">
        <v>211</v>
      </c>
      <c r="B35" s="31" t="s">
        <v>290</v>
      </c>
      <c r="C35" s="38"/>
      <c r="D35" s="38"/>
      <c r="E35" s="38"/>
      <c r="F35" s="38"/>
      <c r="G35" s="38"/>
      <c r="H35" s="40">
        <f t="shared" si="0"/>
        <v>0</v>
      </c>
    </row>
    <row r="36" spans="1:8">
      <c r="A36" s="31" t="s">
        <v>215</v>
      </c>
      <c r="B36" s="31" t="s">
        <v>291</v>
      </c>
      <c r="C36" s="38"/>
      <c r="D36" s="38"/>
      <c r="E36" s="38"/>
      <c r="F36" s="38"/>
      <c r="G36" s="38"/>
      <c r="H36" s="40">
        <f t="shared" si="0"/>
        <v>0</v>
      </c>
    </row>
    <row r="37" spans="1:8">
      <c r="A37" s="31" t="s">
        <v>216</v>
      </c>
      <c r="B37" s="31" t="s">
        <v>292</v>
      </c>
      <c r="C37" s="39"/>
      <c r="D37" s="39"/>
      <c r="E37" s="39"/>
      <c r="F37" s="39"/>
      <c r="G37" s="38"/>
      <c r="H37" s="87">
        <f t="shared" si="0"/>
        <v>0</v>
      </c>
    </row>
    <row r="38" spans="1:8">
      <c r="B38" s="31" t="s">
        <v>293</v>
      </c>
      <c r="C38" s="38">
        <f>+SUM(C13:C37)</f>
        <v>0</v>
      </c>
      <c r="D38" s="38">
        <f>+SUM(D13:D37)</f>
        <v>102400</v>
      </c>
      <c r="E38" s="38">
        <f>+SUM(E13:E37)</f>
        <v>34400</v>
      </c>
      <c r="F38" s="38">
        <f>+SUM(F13:F37)</f>
        <v>64000</v>
      </c>
      <c r="G38" s="38"/>
      <c r="H38" s="40">
        <f>SUM(H13:H37)</f>
        <v>200800</v>
      </c>
    </row>
    <row r="39" spans="1:8">
      <c r="C39" s="38"/>
      <c r="D39" s="38"/>
      <c r="E39" s="38"/>
      <c r="F39" s="38"/>
      <c r="G39" s="38"/>
    </row>
    <row r="40" spans="1:8">
      <c r="A40" s="31" t="s">
        <v>294</v>
      </c>
      <c r="C40" s="38"/>
      <c r="D40" s="38"/>
      <c r="E40" s="38"/>
      <c r="F40" s="38"/>
      <c r="G40" s="38"/>
    </row>
    <row r="41" spans="1:8">
      <c r="A41" s="31" t="s">
        <v>217</v>
      </c>
      <c r="B41" s="31" t="s">
        <v>295</v>
      </c>
      <c r="C41" s="38"/>
      <c r="D41" s="38"/>
      <c r="E41" s="38"/>
      <c r="F41" s="38"/>
      <c r="G41" s="38"/>
      <c r="H41" s="40">
        <f t="shared" ref="H41:H48" si="1">+SUM(C41:G41)</f>
        <v>0</v>
      </c>
    </row>
    <row r="42" spans="1:8">
      <c r="A42" s="31" t="s">
        <v>218</v>
      </c>
      <c r="B42" s="31" t="s">
        <v>219</v>
      </c>
      <c r="C42" s="38"/>
      <c r="D42" s="38"/>
      <c r="E42" s="38"/>
      <c r="F42" s="38"/>
      <c r="G42" s="38"/>
      <c r="H42" s="40">
        <f t="shared" si="1"/>
        <v>0</v>
      </c>
    </row>
    <row r="43" spans="1:8">
      <c r="A43" s="31" t="s">
        <v>220</v>
      </c>
      <c r="B43" s="31" t="s">
        <v>221</v>
      </c>
      <c r="C43" s="38"/>
      <c r="D43" s="38"/>
      <c r="E43" s="38"/>
      <c r="F43" s="38"/>
      <c r="G43" s="38"/>
      <c r="H43" s="40">
        <f t="shared" si="1"/>
        <v>0</v>
      </c>
    </row>
    <row r="44" spans="1:8">
      <c r="A44" s="31" t="s">
        <v>222</v>
      </c>
      <c r="B44" s="31" t="s">
        <v>296</v>
      </c>
      <c r="C44" s="38"/>
      <c r="D44" s="38"/>
      <c r="E44" s="38"/>
      <c r="F44" s="38"/>
      <c r="G44" s="38"/>
      <c r="H44" s="40">
        <f t="shared" si="1"/>
        <v>0</v>
      </c>
    </row>
    <row r="45" spans="1:8">
      <c r="A45" s="31" t="s">
        <v>223</v>
      </c>
      <c r="B45" s="31" t="s">
        <v>224</v>
      </c>
      <c r="C45" s="38"/>
      <c r="D45" s="38"/>
      <c r="E45" s="38"/>
      <c r="F45" s="38"/>
      <c r="G45" s="38"/>
      <c r="H45" s="40">
        <f t="shared" si="1"/>
        <v>0</v>
      </c>
    </row>
    <row r="46" spans="1:8">
      <c r="A46" s="31" t="s">
        <v>225</v>
      </c>
      <c r="B46" s="31" t="s">
        <v>226</v>
      </c>
      <c r="C46" s="38"/>
      <c r="D46" s="38"/>
      <c r="E46" s="38"/>
      <c r="F46" s="38"/>
      <c r="G46" s="38"/>
      <c r="H46" s="40">
        <f t="shared" si="1"/>
        <v>0</v>
      </c>
    </row>
    <row r="47" spans="1:8">
      <c r="A47" s="31" t="s">
        <v>227</v>
      </c>
      <c r="B47" s="31" t="s">
        <v>297</v>
      </c>
      <c r="C47" s="38"/>
      <c r="D47" s="38"/>
      <c r="E47" s="38"/>
      <c r="F47" s="38"/>
      <c r="G47" s="38"/>
      <c r="H47" s="40">
        <f t="shared" si="1"/>
        <v>0</v>
      </c>
    </row>
    <row r="48" spans="1:8">
      <c r="A48" s="31" t="s">
        <v>228</v>
      </c>
      <c r="B48" s="31" t="s">
        <v>298</v>
      </c>
      <c r="C48" s="39"/>
      <c r="D48" s="39"/>
      <c r="E48" s="39"/>
      <c r="F48" s="39"/>
      <c r="G48" s="38"/>
      <c r="H48" s="87">
        <f t="shared" si="1"/>
        <v>0</v>
      </c>
    </row>
    <row r="49" spans="1:8">
      <c r="B49" s="31" t="s">
        <v>299</v>
      </c>
      <c r="C49" s="38">
        <f>+SUM(C41:C48)</f>
        <v>0</v>
      </c>
      <c r="D49" s="38">
        <f>+SUM(D41:D48)</f>
        <v>0</v>
      </c>
      <c r="E49" s="38">
        <f>+SUM(E41:E48)</f>
        <v>0</v>
      </c>
      <c r="F49" s="38">
        <f>+SUM(F41:F48)</f>
        <v>0</v>
      </c>
      <c r="G49" s="38"/>
      <c r="H49" s="40">
        <f>SUM(H41:H48)</f>
        <v>0</v>
      </c>
    </row>
    <row r="50" spans="1:8">
      <c r="C50" s="38"/>
      <c r="D50" s="38"/>
      <c r="E50" s="38"/>
      <c r="F50" s="38"/>
      <c r="G50" s="38"/>
    </row>
    <row r="51" spans="1:8">
      <c r="A51" s="31" t="s">
        <v>300</v>
      </c>
      <c r="C51" s="38"/>
      <c r="D51" s="38"/>
      <c r="E51" s="38"/>
      <c r="F51" s="38"/>
      <c r="G51" s="38"/>
    </row>
    <row r="52" spans="1:8">
      <c r="A52" s="31" t="s">
        <v>301</v>
      </c>
      <c r="C52" s="38"/>
      <c r="D52" s="38"/>
      <c r="E52" s="38"/>
      <c r="F52" s="38"/>
      <c r="G52" s="38"/>
    </row>
    <row r="53" spans="1:8">
      <c r="A53" s="31" t="s">
        <v>229</v>
      </c>
      <c r="B53" s="31" t="s">
        <v>389</v>
      </c>
      <c r="C53" s="38"/>
      <c r="D53" s="38"/>
      <c r="E53" s="38"/>
      <c r="F53" s="38"/>
      <c r="G53" s="38"/>
      <c r="H53" s="40">
        <f t="shared" ref="H53:H65" si="2">+SUM(C53:G53)</f>
        <v>0</v>
      </c>
    </row>
    <row r="54" spans="1:8">
      <c r="A54" s="31" t="s">
        <v>230</v>
      </c>
      <c r="B54" s="31" t="s">
        <v>390</v>
      </c>
      <c r="C54" s="38"/>
      <c r="D54" s="38"/>
      <c r="E54" s="38"/>
      <c r="F54" s="38"/>
      <c r="G54" s="38"/>
      <c r="H54" s="40">
        <f t="shared" si="2"/>
        <v>0</v>
      </c>
    </row>
    <row r="55" spans="1:8">
      <c r="A55" s="31" t="s">
        <v>231</v>
      </c>
      <c r="B55" s="31" t="s">
        <v>391</v>
      </c>
      <c r="C55" s="38"/>
      <c r="D55" s="38"/>
      <c r="E55" s="38"/>
      <c r="F55" s="38"/>
      <c r="G55" s="38"/>
      <c r="H55" s="40">
        <f t="shared" si="2"/>
        <v>0</v>
      </c>
    </row>
    <row r="56" spans="1:8">
      <c r="A56" s="31" t="s">
        <v>232</v>
      </c>
      <c r="B56" s="31" t="s">
        <v>302</v>
      </c>
      <c r="C56" s="38"/>
      <c r="D56" s="38"/>
      <c r="E56" s="38"/>
      <c r="F56" s="38"/>
      <c r="G56" s="38"/>
      <c r="H56" s="40">
        <f t="shared" si="2"/>
        <v>0</v>
      </c>
    </row>
    <row r="57" spans="1:8">
      <c r="A57" s="31" t="s">
        <v>233</v>
      </c>
      <c r="B57" s="31" t="s">
        <v>303</v>
      </c>
      <c r="C57" s="38"/>
      <c r="D57" s="38">
        <f>203000/625*SUM!B4</f>
        <v>207872</v>
      </c>
      <c r="E57" s="38">
        <f>203000/625*SUM!B6</f>
        <v>69832</v>
      </c>
      <c r="F57" s="38">
        <f>203000/625*SUM!B7</f>
        <v>129920</v>
      </c>
      <c r="G57" s="38"/>
      <c r="H57" s="40">
        <f t="shared" si="2"/>
        <v>407624</v>
      </c>
    </row>
    <row r="58" spans="1:8">
      <c r="A58" s="31" t="s">
        <v>0</v>
      </c>
      <c r="B58" s="31" t="s">
        <v>304</v>
      </c>
      <c r="C58" s="38"/>
      <c r="D58" s="38"/>
      <c r="E58" s="38"/>
      <c r="F58" s="38"/>
      <c r="G58" s="38"/>
      <c r="H58" s="40">
        <f t="shared" si="2"/>
        <v>0</v>
      </c>
    </row>
    <row r="59" spans="1:8">
      <c r="A59" s="31" t="s">
        <v>1</v>
      </c>
      <c r="B59" s="31" t="s">
        <v>305</v>
      </c>
      <c r="C59" s="38"/>
      <c r="D59" s="38"/>
      <c r="E59" s="38"/>
      <c r="F59" s="38"/>
      <c r="G59" s="38"/>
      <c r="H59" s="40">
        <f t="shared" si="2"/>
        <v>0</v>
      </c>
    </row>
    <row r="60" spans="1:8">
      <c r="A60" s="31" t="s">
        <v>3</v>
      </c>
      <c r="B60" s="31" t="s">
        <v>2</v>
      </c>
      <c r="C60" s="38"/>
      <c r="D60" s="38"/>
      <c r="E60" s="38"/>
      <c r="F60" s="38"/>
      <c r="G60" s="38"/>
      <c r="H60" s="40">
        <f t="shared" si="2"/>
        <v>0</v>
      </c>
    </row>
    <row r="61" spans="1:8">
      <c r="A61" s="31" t="s">
        <v>4</v>
      </c>
      <c r="B61" s="31" t="s">
        <v>5</v>
      </c>
      <c r="C61" s="38"/>
      <c r="D61" s="38"/>
      <c r="E61" s="38"/>
      <c r="F61" s="38"/>
      <c r="G61" s="38"/>
      <c r="H61" s="40">
        <f t="shared" si="2"/>
        <v>0</v>
      </c>
    </row>
    <row r="62" spans="1:8">
      <c r="A62" s="31" t="s">
        <v>6</v>
      </c>
      <c r="B62" s="31" t="s">
        <v>7</v>
      </c>
      <c r="C62" s="38"/>
      <c r="D62" s="38"/>
      <c r="E62" s="38"/>
      <c r="F62" s="38"/>
      <c r="G62" s="38"/>
      <c r="H62" s="40">
        <f t="shared" si="2"/>
        <v>0</v>
      </c>
    </row>
    <row r="63" spans="1:8">
      <c r="A63" s="31" t="s">
        <v>8</v>
      </c>
      <c r="B63" s="31" t="s">
        <v>9</v>
      </c>
      <c r="C63" s="38"/>
      <c r="D63" s="38"/>
      <c r="E63" s="38"/>
      <c r="F63" s="38"/>
      <c r="G63" s="38"/>
      <c r="H63" s="40">
        <f t="shared" si="2"/>
        <v>0</v>
      </c>
    </row>
    <row r="64" spans="1:8">
      <c r="A64" s="31" t="s">
        <v>11</v>
      </c>
      <c r="B64" s="31" t="s">
        <v>307</v>
      </c>
      <c r="C64" s="38"/>
      <c r="D64" s="38"/>
      <c r="E64" s="38"/>
      <c r="F64" s="38"/>
      <c r="G64" s="38"/>
      <c r="H64" s="40">
        <f t="shared" si="2"/>
        <v>0</v>
      </c>
    </row>
    <row r="65" spans="1:8">
      <c r="A65" s="31" t="s">
        <v>10</v>
      </c>
      <c r="B65" s="31" t="s">
        <v>306</v>
      </c>
      <c r="C65" s="39"/>
      <c r="D65" s="39"/>
      <c r="E65" s="39"/>
      <c r="F65" s="39"/>
      <c r="G65" s="38"/>
      <c r="H65" s="87">
        <f t="shared" si="2"/>
        <v>0</v>
      </c>
    </row>
    <row r="66" spans="1:8">
      <c r="B66" s="31" t="s">
        <v>308</v>
      </c>
      <c r="C66" s="38">
        <f>+SUM(C53:C65)</f>
        <v>0</v>
      </c>
      <c r="D66" s="38">
        <f>+SUM(D53:D65)</f>
        <v>207872</v>
      </c>
      <c r="E66" s="38">
        <f>+SUM(E53:E65)</f>
        <v>69832</v>
      </c>
      <c r="F66" s="38">
        <f>+SUM(F53:F65)</f>
        <v>129920</v>
      </c>
      <c r="G66" s="38"/>
      <c r="H66" s="40">
        <f>SUM(H53:H65)</f>
        <v>407624</v>
      </c>
    </row>
    <row r="67" spans="1:8">
      <c r="C67" s="38"/>
      <c r="D67" s="38"/>
      <c r="E67" s="38"/>
      <c r="F67" s="38"/>
      <c r="G67" s="38"/>
    </row>
    <row r="68" spans="1:8" s="4" customFormat="1">
      <c r="A68" s="35"/>
      <c r="B68" s="35" t="s">
        <v>309</v>
      </c>
      <c r="C68" s="40">
        <f>+C66+C49+C38</f>
        <v>0</v>
      </c>
      <c r="D68" s="40">
        <f>+D66+D49+D38</f>
        <v>310272</v>
      </c>
      <c r="E68" s="40">
        <f>+E66+E49+E38</f>
        <v>104232</v>
      </c>
      <c r="F68" s="40">
        <f>+F66+F49+F38</f>
        <v>193920</v>
      </c>
      <c r="G68" s="40"/>
      <c r="H68" s="40">
        <f>+SUM(C68:G68)</f>
        <v>608424</v>
      </c>
    </row>
    <row r="69" spans="1:8">
      <c r="C69" s="38"/>
      <c r="D69" s="38"/>
      <c r="E69" s="38"/>
      <c r="F69" s="38"/>
      <c r="G69" s="38"/>
    </row>
    <row r="70" spans="1:8">
      <c r="A70" s="31" t="s">
        <v>310</v>
      </c>
      <c r="C70" s="38"/>
      <c r="D70" s="38"/>
      <c r="E70" s="38"/>
      <c r="F70" s="38"/>
      <c r="G70" s="38"/>
    </row>
    <row r="71" spans="1:8">
      <c r="A71" s="31" t="s">
        <v>311</v>
      </c>
      <c r="C71" s="38"/>
      <c r="D71" s="38"/>
      <c r="E71" s="38"/>
      <c r="F71" s="38"/>
      <c r="G71" s="38"/>
    </row>
    <row r="72" spans="1:8">
      <c r="A72" s="31" t="s">
        <v>19</v>
      </c>
      <c r="B72" s="31" t="s">
        <v>320</v>
      </c>
      <c r="C72" s="38">
        <f>SUM('13-2014 Ret Emp'!I98)+6000</f>
        <v>60014.418740065223</v>
      </c>
      <c r="D72" s="38"/>
      <c r="E72" s="38"/>
      <c r="F72" s="38"/>
      <c r="G72" s="38"/>
      <c r="H72" s="40">
        <f t="shared" ref="H72:H79" si="3">+SUM(C72:G72)</f>
        <v>60014.418740065223</v>
      </c>
    </row>
    <row r="73" spans="1:8">
      <c r="A73" s="31" t="s">
        <v>12</v>
      </c>
      <c r="B73" s="31" t="s">
        <v>312</v>
      </c>
      <c r="C73" s="38"/>
      <c r="D73" s="38"/>
      <c r="E73" s="38"/>
      <c r="F73" s="38"/>
      <c r="G73" s="38"/>
      <c r="H73" s="40">
        <f t="shared" si="3"/>
        <v>0</v>
      </c>
    </row>
    <row r="74" spans="1:8">
      <c r="A74" s="31" t="s">
        <v>13</v>
      </c>
      <c r="B74" s="31" t="s">
        <v>313</v>
      </c>
      <c r="C74" s="38"/>
      <c r="D74" s="38"/>
      <c r="E74" s="38"/>
      <c r="F74" s="38"/>
      <c r="G74" s="38"/>
      <c r="H74" s="40">
        <f t="shared" si="3"/>
        <v>0</v>
      </c>
    </row>
    <row r="75" spans="1:8">
      <c r="A75" s="31" t="s">
        <v>14</v>
      </c>
      <c r="B75" s="31" t="s">
        <v>314</v>
      </c>
      <c r="C75" s="38"/>
      <c r="D75" s="38"/>
      <c r="E75" s="38"/>
      <c r="F75" s="38"/>
      <c r="G75" s="38"/>
      <c r="H75" s="40">
        <f t="shared" si="3"/>
        <v>0</v>
      </c>
    </row>
    <row r="76" spans="1:8">
      <c r="A76" s="31" t="s">
        <v>15</v>
      </c>
      <c r="B76" s="31" t="s">
        <v>315</v>
      </c>
      <c r="C76" s="38"/>
      <c r="D76" s="38"/>
      <c r="E76" s="38"/>
      <c r="F76" s="38"/>
      <c r="G76" s="38"/>
      <c r="H76" s="40">
        <f t="shared" si="3"/>
        <v>0</v>
      </c>
    </row>
    <row r="77" spans="1:8">
      <c r="A77" s="31" t="s">
        <v>16</v>
      </c>
      <c r="B77" s="31" t="s">
        <v>316</v>
      </c>
      <c r="C77" s="220">
        <f>SUM('OP-SCH'!D116)*0</f>
        <v>0</v>
      </c>
      <c r="D77" s="38"/>
      <c r="E77" s="38"/>
      <c r="F77" s="38"/>
      <c r="G77" s="38"/>
      <c r="H77" s="40">
        <f t="shared" si="3"/>
        <v>0</v>
      </c>
    </row>
    <row r="78" spans="1:8">
      <c r="A78" s="31" t="s">
        <v>17</v>
      </c>
      <c r="B78" s="31" t="s">
        <v>317</v>
      </c>
      <c r="C78" s="38"/>
      <c r="D78" s="220">
        <f>SUM('13-2014 Ret Emp'!I99*1675+'13-2014 Ret Emp'!I100*1675+'13-2014 Ret Emp'!I101*1675+'13-2014 Ret Emp'!I102*1638)+2</f>
        <v>96004.350130250008</v>
      </c>
      <c r="E78" s="220">
        <f>+'STF-SCH'!$D83+'13-2014 Ret Emp'!I103*1180+9</f>
        <v>33354.052110000004</v>
      </c>
      <c r="F78" s="220">
        <f>+'STF-SCH'!$D83+'STF-SCH'!$D85+'STF-SCH'!H85+'STF-SCH'!$H88</f>
        <v>84962.14094779591</v>
      </c>
      <c r="G78" s="38"/>
      <c r="H78" s="40">
        <f t="shared" si="3"/>
        <v>214320.54318804591</v>
      </c>
    </row>
    <row r="79" spans="1:8" ht="14.25" customHeight="1">
      <c r="A79" s="31" t="s">
        <v>18</v>
      </c>
      <c r="B79" s="31" t="s">
        <v>319</v>
      </c>
      <c r="C79" s="39"/>
      <c r="D79" s="39"/>
      <c r="E79" s="39"/>
      <c r="F79" s="39"/>
      <c r="G79" s="38"/>
      <c r="H79" s="87">
        <f t="shared" si="3"/>
        <v>0</v>
      </c>
    </row>
    <row r="80" spans="1:8">
      <c r="B80" s="31" t="s">
        <v>24</v>
      </c>
      <c r="C80" s="38">
        <f>+SUM(C72:C79)</f>
        <v>60014.418740065223</v>
      </c>
      <c r="D80" s="38">
        <f t="shared" ref="D80:E80" si="4">+SUM(D72:D79)</f>
        <v>96004.350130250008</v>
      </c>
      <c r="E80" s="38">
        <f t="shared" si="4"/>
        <v>33354.052110000004</v>
      </c>
      <c r="F80" s="38">
        <f t="shared" ref="F80" si="5">+SUM(F72:F79)</f>
        <v>84962.14094779591</v>
      </c>
      <c r="G80" s="38"/>
      <c r="H80" s="40">
        <f>SUM(H72:H79)</f>
        <v>274334.96192811115</v>
      </c>
    </row>
    <row r="81" spans="1:8">
      <c r="C81" s="38"/>
      <c r="D81" s="38"/>
      <c r="E81" s="38"/>
      <c r="F81" s="38"/>
      <c r="G81" s="38"/>
    </row>
    <row r="82" spans="1:8">
      <c r="C82" s="38"/>
      <c r="D82" s="38"/>
      <c r="E82" s="38"/>
      <c r="F82" s="38"/>
      <c r="G82" s="38"/>
    </row>
    <row r="83" spans="1:8">
      <c r="A83" s="36" t="s">
        <v>322</v>
      </c>
      <c r="C83" s="38"/>
      <c r="D83" s="38"/>
      <c r="E83" s="38"/>
      <c r="F83" s="38"/>
      <c r="G83" s="38"/>
    </row>
    <row r="84" spans="1:8">
      <c r="A84" s="31" t="s">
        <v>20</v>
      </c>
      <c r="B84" s="31" t="s">
        <v>321</v>
      </c>
      <c r="C84" s="38"/>
      <c r="D84" s="220">
        <f>7*D7*100</f>
        <v>2800</v>
      </c>
      <c r="E84" s="220">
        <f t="shared" ref="E84:F84" si="6">7*E7*100</f>
        <v>1400</v>
      </c>
      <c r="F84" s="220">
        <f t="shared" si="6"/>
        <v>2800</v>
      </c>
      <c r="G84" s="38"/>
      <c r="H84" s="163">
        <f>+SUM(C84:G84)</f>
        <v>7000</v>
      </c>
    </row>
    <row r="85" spans="1:8">
      <c r="A85" s="31" t="s">
        <v>21</v>
      </c>
      <c r="B85" s="31" t="s">
        <v>322</v>
      </c>
      <c r="C85" s="38"/>
      <c r="D85" s="220">
        <f>375*D7</f>
        <v>1500</v>
      </c>
      <c r="E85" s="220">
        <f t="shared" ref="E85" si="7">375*E7</f>
        <v>750</v>
      </c>
      <c r="F85" s="220">
        <f>375*F7*2</f>
        <v>3000</v>
      </c>
      <c r="G85" s="38"/>
      <c r="H85" s="163">
        <f>+SUM(C85:G85)</f>
        <v>5250</v>
      </c>
    </row>
    <row r="86" spans="1:8">
      <c r="A86" s="31" t="s">
        <v>406</v>
      </c>
      <c r="B86" s="31" t="s">
        <v>407</v>
      </c>
      <c r="C86" s="38"/>
      <c r="D86" s="38"/>
      <c r="E86" s="38"/>
      <c r="F86" s="38"/>
      <c r="G86" s="38"/>
      <c r="H86" s="163">
        <f>+SUM(C86:G86)</f>
        <v>0</v>
      </c>
    </row>
    <row r="87" spans="1:8">
      <c r="A87" s="31" t="s">
        <v>22</v>
      </c>
      <c r="B87" s="31" t="s">
        <v>23</v>
      </c>
      <c r="C87" s="39"/>
      <c r="D87" s="39"/>
      <c r="E87" s="39"/>
      <c r="F87" s="39"/>
      <c r="G87" s="38"/>
      <c r="H87" s="87">
        <f>+SUM(C87:G87)</f>
        <v>0</v>
      </c>
    </row>
    <row r="88" spans="1:8">
      <c r="B88" s="31" t="s">
        <v>323</v>
      </c>
      <c r="C88" s="38">
        <f>SUM(C84:C87)</f>
        <v>0</v>
      </c>
      <c r="D88" s="38">
        <f t="shared" ref="D88:E88" si="8">SUM(D84:D87)</f>
        <v>4300</v>
      </c>
      <c r="E88" s="38">
        <f t="shared" si="8"/>
        <v>2150</v>
      </c>
      <c r="F88" s="38">
        <f t="shared" ref="F88" si="9">SUM(F84:F87)</f>
        <v>5800</v>
      </c>
      <c r="G88" s="38"/>
      <c r="H88" s="40">
        <f>SUM(H84:H87)</f>
        <v>12250</v>
      </c>
    </row>
    <row r="89" spans="1:8">
      <c r="C89" s="38"/>
      <c r="D89" s="38"/>
      <c r="E89" s="38"/>
      <c r="F89" s="38"/>
      <c r="G89" s="38"/>
    </row>
    <row r="90" spans="1:8">
      <c r="B90" s="31" t="s">
        <v>324</v>
      </c>
      <c r="C90" s="38">
        <f>SUM(C80+C88)</f>
        <v>60014.418740065223</v>
      </c>
      <c r="D90" s="38">
        <f t="shared" ref="D90:H90" si="10">SUM(D80+D88)</f>
        <v>100304.35013025001</v>
      </c>
      <c r="E90" s="38">
        <f t="shared" si="10"/>
        <v>35504.052110000004</v>
      </c>
      <c r="F90" s="38">
        <f t="shared" ref="F90" si="11">SUM(F80+F88)</f>
        <v>90762.14094779591</v>
      </c>
      <c r="G90" s="38"/>
      <c r="H90" s="40">
        <f t="shared" si="10"/>
        <v>286584.96192811115</v>
      </c>
    </row>
    <row r="91" spans="1:8">
      <c r="C91" s="38"/>
      <c r="D91" s="38"/>
      <c r="E91" s="38"/>
      <c r="F91" s="38"/>
      <c r="G91" s="38"/>
    </row>
    <row r="92" spans="1:8">
      <c r="A92" s="31" t="s">
        <v>325</v>
      </c>
      <c r="C92" s="38"/>
      <c r="D92" s="38"/>
      <c r="E92" s="38"/>
      <c r="F92" s="38"/>
      <c r="G92" s="38"/>
    </row>
    <row r="93" spans="1:8">
      <c r="A93" s="31" t="s">
        <v>25</v>
      </c>
      <c r="B93" s="31" t="s">
        <v>33</v>
      </c>
      <c r="C93" s="38">
        <f>+C$7*139.64*2*1.05*12</f>
        <v>3518.9279999999999</v>
      </c>
      <c r="D93" s="38">
        <f>+D$7*139.64*2*1.05*12</f>
        <v>14075.712</v>
      </c>
      <c r="E93" s="38">
        <f>+E$7*139.64*2*1.05*12</f>
        <v>7037.8559999999998</v>
      </c>
      <c r="F93" s="38">
        <f>+F$7*139.64*2*1.05*12</f>
        <v>14075.712</v>
      </c>
      <c r="G93" s="38"/>
      <c r="H93" s="40">
        <f t="shared" ref="H93:H101" si="12">+SUM(C93:G93)</f>
        <v>38708.207999999999</v>
      </c>
    </row>
    <row r="94" spans="1:8">
      <c r="A94" s="31" t="s">
        <v>26</v>
      </c>
      <c r="B94" s="31" t="s">
        <v>34</v>
      </c>
      <c r="C94" s="38">
        <f>+C$7*8.74*2*1.02*12</f>
        <v>213.95519999999999</v>
      </c>
      <c r="D94" s="38">
        <f>+D$7*8.74*2*1.02*12</f>
        <v>855.82079999999996</v>
      </c>
      <c r="E94" s="38">
        <f>+E$7*8.74*2*1.02*12</f>
        <v>427.91039999999998</v>
      </c>
      <c r="F94" s="38">
        <f>+F$7*8.74*2*1.02*12</f>
        <v>855.82079999999996</v>
      </c>
      <c r="G94" s="38"/>
      <c r="H94" s="40">
        <f t="shared" si="12"/>
        <v>2353.5072</v>
      </c>
    </row>
    <row r="95" spans="1:8">
      <c r="A95" s="31" t="s">
        <v>28</v>
      </c>
      <c r="B95" s="31" t="s">
        <v>27</v>
      </c>
      <c r="C95" s="38">
        <f>(+C$88-C$84+C$80)*0.062</f>
        <v>3720.8939618840436</v>
      </c>
      <c r="D95" s="38">
        <f>(+D$88-D$84+D$80)*0.062</f>
        <v>6045.2697080755006</v>
      </c>
      <c r="E95" s="38">
        <f>(+E$88-E$84+E$80)*0.062</f>
        <v>2114.4512308200001</v>
      </c>
      <c r="F95" s="38">
        <f>(+F$88-F$84+F$80)*0.062</f>
        <v>5453.652738763346</v>
      </c>
      <c r="G95" s="38"/>
      <c r="H95" s="40">
        <f t="shared" si="12"/>
        <v>17334.26763954289</v>
      </c>
    </row>
    <row r="96" spans="1:8">
      <c r="A96" s="31" t="s">
        <v>30</v>
      </c>
      <c r="B96" s="31" t="s">
        <v>29</v>
      </c>
      <c r="C96" s="38">
        <f>(+C$88-C$84+C$80)*0.0145</f>
        <v>870.20907173094577</v>
      </c>
      <c r="D96" s="38">
        <f>(+D$88-D$84+D$80)*0.0145</f>
        <v>1413.8130768886251</v>
      </c>
      <c r="E96" s="38">
        <f>(+E$88-E$84+E$80)*0.0145</f>
        <v>494.50875559500008</v>
      </c>
      <c r="F96" s="38">
        <f>(+F$88-F$84+F$80)*0.0145</f>
        <v>1275.4510437430408</v>
      </c>
      <c r="G96" s="38"/>
      <c r="H96" s="40">
        <f t="shared" si="12"/>
        <v>4053.9819479576117</v>
      </c>
    </row>
    <row r="97" spans="1:9">
      <c r="A97" s="31" t="s">
        <v>31</v>
      </c>
      <c r="B97" s="31" t="s">
        <v>32</v>
      </c>
      <c r="C97" s="38">
        <f>(+C$88-C$84+C$80)*0.06</f>
        <v>3600.8651244039133</v>
      </c>
      <c r="D97" s="38">
        <f>(+D$88-D$84+D$80)*0.06</f>
        <v>5850.2610078150001</v>
      </c>
      <c r="E97" s="38">
        <f>(+E$88-E$84+E$80)*0.06</f>
        <v>2046.2431266000001</v>
      </c>
      <c r="F97" s="38">
        <f>(+F$88-F$84+F$80)*0.06</f>
        <v>5277.7284568677542</v>
      </c>
      <c r="G97" s="38"/>
      <c r="H97" s="40">
        <f t="shared" si="12"/>
        <v>16775.097715686668</v>
      </c>
    </row>
    <row r="98" spans="1:9">
      <c r="A98" s="31" t="s">
        <v>36</v>
      </c>
      <c r="B98" s="31" t="s">
        <v>35</v>
      </c>
      <c r="C98" s="38">
        <f>(+C$88-C$84+C$80)*0.0056</f>
        <v>336.08074494436522</v>
      </c>
      <c r="D98" s="38">
        <f>(+D$88-D$84+D$80)*0.0056</f>
        <v>546.02436072940009</v>
      </c>
      <c r="E98" s="38">
        <f>(+E$88-E$84+E$80)*0.0056</f>
        <v>190.98269181600003</v>
      </c>
      <c r="F98" s="38">
        <f>(+F$88-F$84+F$80)*0.0056</f>
        <v>492.5879893076571</v>
      </c>
      <c r="G98" s="38"/>
      <c r="H98" s="40">
        <f t="shared" si="12"/>
        <v>1565.6757867974225</v>
      </c>
    </row>
    <row r="99" spans="1:9">
      <c r="A99" s="31" t="s">
        <v>38</v>
      </c>
      <c r="B99" s="31" t="s">
        <v>37</v>
      </c>
      <c r="C99" s="38">
        <f>+C$7*7700*0.0201</f>
        <v>154.77000000000001</v>
      </c>
      <c r="D99" s="38">
        <f>+D$7*7700*0.0201</f>
        <v>619.08000000000004</v>
      </c>
      <c r="E99" s="38">
        <f>+E$7*7700*0.0201</f>
        <v>309.54000000000002</v>
      </c>
      <c r="F99" s="38">
        <f>+F$7*7700*0.0201</f>
        <v>619.08000000000004</v>
      </c>
      <c r="G99" s="38"/>
      <c r="H99" s="40">
        <f t="shared" si="12"/>
        <v>1702.4700000000003</v>
      </c>
    </row>
    <row r="100" spans="1:9">
      <c r="A100" s="31" t="s">
        <v>83</v>
      </c>
      <c r="B100" s="31" t="s">
        <v>84</v>
      </c>
      <c r="C100" s="38"/>
      <c r="D100" s="38"/>
      <c r="E100" s="38"/>
      <c r="F100" s="38"/>
      <c r="G100" s="38"/>
      <c r="H100" s="40">
        <f t="shared" si="12"/>
        <v>0</v>
      </c>
    </row>
    <row r="101" spans="1:9">
      <c r="A101" s="31" t="s">
        <v>39</v>
      </c>
      <c r="B101" s="31" t="s">
        <v>40</v>
      </c>
      <c r="C101" s="39">
        <f>(+C$88-C$84+C$80)*(0.0024+0.0036+0.0013)</f>
        <v>438.10525680247611</v>
      </c>
      <c r="D101" s="39">
        <f>(+D$88-D$84+D$80)*(0.0024+0.0036+0.0013)</f>
        <v>711.78175595082507</v>
      </c>
      <c r="E101" s="39">
        <f>(+E$88-E$84+E$80)*(0.0024+0.0036+0.0013)</f>
        <v>248.95958040300005</v>
      </c>
      <c r="F101" s="39">
        <f>(+F$88-F$84+F$80)*(0.0024+0.0036+0.0013)</f>
        <v>642.12362891891019</v>
      </c>
      <c r="G101" s="38"/>
      <c r="H101" s="87">
        <f t="shared" si="12"/>
        <v>2040.9702220752115</v>
      </c>
    </row>
    <row r="102" spans="1:9">
      <c r="B102" s="31" t="s">
        <v>234</v>
      </c>
      <c r="C102" s="38">
        <f>SUM(C93:C101)</f>
        <v>12853.807359765746</v>
      </c>
      <c r="D102" s="38">
        <f t="shared" ref="D102:E102" si="13">SUM(D93:D101)</f>
        <v>30117.762709459352</v>
      </c>
      <c r="E102" s="38">
        <f t="shared" si="13"/>
        <v>12870.451785234</v>
      </c>
      <c r="F102" s="38">
        <f t="shared" ref="F102" si="14">SUM(F93:F101)</f>
        <v>28692.156657600706</v>
      </c>
      <c r="G102" s="38"/>
      <c r="H102" s="40">
        <f>SUM(H93:H101)</f>
        <v>84534.178512059807</v>
      </c>
      <c r="I102" s="38"/>
    </row>
    <row r="103" spans="1:9">
      <c r="C103" s="38"/>
      <c r="D103" s="38"/>
      <c r="E103" s="38"/>
      <c r="F103" s="38"/>
      <c r="G103" s="38"/>
    </row>
    <row r="104" spans="1:9" s="4" customFormat="1">
      <c r="A104" s="35"/>
      <c r="B104" s="35" t="s">
        <v>235</v>
      </c>
      <c r="C104" s="40">
        <f>SUM(C90+C102)</f>
        <v>72868.226099830965</v>
      </c>
      <c r="D104" s="40">
        <f t="shared" ref="D104:H104" si="15">SUM(D90+D102)</f>
        <v>130422.11283970936</v>
      </c>
      <c r="E104" s="40">
        <f t="shared" si="15"/>
        <v>48374.503895234004</v>
      </c>
      <c r="F104" s="40">
        <f t="shared" ref="F104" si="16">SUM(F90+F102)</f>
        <v>119454.29760539661</v>
      </c>
      <c r="G104" s="40"/>
      <c r="H104" s="40">
        <f t="shared" si="15"/>
        <v>371119.14044017094</v>
      </c>
    </row>
    <row r="105" spans="1:9">
      <c r="C105" s="38"/>
      <c r="D105" s="38"/>
      <c r="E105" s="38"/>
      <c r="F105" s="38"/>
      <c r="G105" s="38"/>
    </row>
    <row r="106" spans="1:9">
      <c r="A106" s="31" t="s">
        <v>236</v>
      </c>
      <c r="C106" s="38"/>
      <c r="D106" s="38"/>
      <c r="E106" s="38"/>
      <c r="F106" s="38"/>
      <c r="G106" s="38"/>
    </row>
    <row r="107" spans="1:9">
      <c r="A107" s="31" t="s">
        <v>237</v>
      </c>
      <c r="C107" s="38"/>
      <c r="D107" s="38"/>
      <c r="E107" s="38"/>
      <c r="F107" s="38"/>
      <c r="G107" s="38"/>
    </row>
    <row r="108" spans="1:9">
      <c r="A108" s="31" t="s">
        <v>51</v>
      </c>
      <c r="B108" s="31" t="s">
        <v>50</v>
      </c>
      <c r="C108" s="38"/>
      <c r="D108" s="38"/>
      <c r="E108" s="38"/>
      <c r="F108" s="38"/>
      <c r="G108" s="38"/>
      <c r="H108" s="40">
        <f t="shared" ref="H108:H121" si="17">+SUM(C108:G108)</f>
        <v>0</v>
      </c>
    </row>
    <row r="109" spans="1:9">
      <c r="A109" s="31" t="s">
        <v>41</v>
      </c>
      <c r="B109" s="31" t="s">
        <v>42</v>
      </c>
      <c r="C109" s="38"/>
      <c r="D109" s="38"/>
      <c r="E109" s="38"/>
      <c r="F109" s="38"/>
      <c r="G109" s="38"/>
      <c r="H109" s="40">
        <f t="shared" si="17"/>
        <v>0</v>
      </c>
    </row>
    <row r="110" spans="1:9">
      <c r="A110" s="31" t="s">
        <v>43</v>
      </c>
      <c r="B110" s="31" t="s">
        <v>238</v>
      </c>
      <c r="C110" s="220">
        <v>2000</v>
      </c>
      <c r="D110" s="220">
        <v>250</v>
      </c>
      <c r="E110" s="220">
        <v>250</v>
      </c>
      <c r="F110" s="220">
        <v>600</v>
      </c>
      <c r="G110" s="38"/>
      <c r="H110" s="40">
        <f t="shared" si="17"/>
        <v>3100</v>
      </c>
    </row>
    <row r="111" spans="1:9">
      <c r="A111" s="31" t="s">
        <v>44</v>
      </c>
      <c r="B111" s="31" t="s">
        <v>45</v>
      </c>
      <c r="C111" s="38"/>
      <c r="D111" s="38"/>
      <c r="E111" s="38"/>
      <c r="F111" s="38"/>
      <c r="G111" s="38"/>
      <c r="H111" s="40">
        <f t="shared" si="17"/>
        <v>0</v>
      </c>
    </row>
    <row r="112" spans="1:9">
      <c r="A112" s="31" t="s">
        <v>46</v>
      </c>
      <c r="B112" s="31" t="s">
        <v>239</v>
      </c>
      <c r="C112" s="38"/>
      <c r="D112" s="38"/>
      <c r="E112" s="38"/>
      <c r="F112" s="38"/>
      <c r="G112" s="38"/>
      <c r="H112" s="40">
        <f t="shared" si="17"/>
        <v>0</v>
      </c>
    </row>
    <row r="113" spans="1:8">
      <c r="A113" s="31" t="s">
        <v>47</v>
      </c>
      <c r="B113" s="31" t="s">
        <v>240</v>
      </c>
      <c r="C113" s="38"/>
      <c r="D113" s="38"/>
      <c r="E113" s="38"/>
      <c r="F113" s="38"/>
      <c r="G113" s="38"/>
      <c r="H113" s="40">
        <f t="shared" si="17"/>
        <v>0</v>
      </c>
    </row>
    <row r="114" spans="1:8">
      <c r="A114" s="31" t="s">
        <v>48</v>
      </c>
      <c r="B114" s="31" t="s">
        <v>49</v>
      </c>
      <c r="C114" s="38"/>
      <c r="D114" s="38"/>
      <c r="E114" s="38"/>
      <c r="F114" s="38"/>
      <c r="G114" s="38"/>
      <c r="H114" s="40">
        <f t="shared" si="17"/>
        <v>0</v>
      </c>
    </row>
    <row r="115" spans="1:8">
      <c r="A115" s="31" t="s">
        <v>82</v>
      </c>
      <c r="B115" s="31" t="s">
        <v>166</v>
      </c>
      <c r="C115" s="38"/>
      <c r="D115" s="38"/>
      <c r="E115" s="38"/>
      <c r="F115" s="38"/>
      <c r="G115" s="38"/>
      <c r="H115" s="40">
        <f t="shared" si="17"/>
        <v>0</v>
      </c>
    </row>
    <row r="116" spans="1:8">
      <c r="A116" s="31" t="s">
        <v>104</v>
      </c>
      <c r="B116" s="31" t="s">
        <v>103</v>
      </c>
      <c r="C116" s="38"/>
      <c r="D116" s="38"/>
      <c r="E116" s="38"/>
      <c r="F116" s="38"/>
      <c r="G116" s="38"/>
      <c r="H116" s="40">
        <f t="shared" si="17"/>
        <v>0</v>
      </c>
    </row>
    <row r="117" spans="1:8">
      <c r="A117" s="31" t="s">
        <v>59</v>
      </c>
      <c r="B117" s="31" t="s">
        <v>318</v>
      </c>
      <c r="C117" s="38"/>
      <c r="D117" s="38"/>
      <c r="E117" s="38"/>
      <c r="F117" s="38"/>
      <c r="G117" s="38"/>
      <c r="H117" s="40">
        <f t="shared" si="17"/>
        <v>0</v>
      </c>
    </row>
    <row r="118" spans="1:8">
      <c r="A118" s="31" t="s">
        <v>87</v>
      </c>
      <c r="B118" s="31" t="s">
        <v>88</v>
      </c>
      <c r="C118" s="38"/>
      <c r="D118" s="38"/>
      <c r="E118" s="38"/>
      <c r="F118" s="38"/>
      <c r="G118" s="38"/>
      <c r="H118" s="40">
        <f t="shared" si="17"/>
        <v>0</v>
      </c>
    </row>
    <row r="119" spans="1:8">
      <c r="A119" s="31" t="s">
        <v>89</v>
      </c>
      <c r="B119" s="31" t="s">
        <v>90</v>
      </c>
      <c r="C119" s="38"/>
      <c r="D119" s="38"/>
      <c r="E119" s="38"/>
      <c r="F119" s="38"/>
      <c r="G119" s="38"/>
      <c r="H119" s="40">
        <f t="shared" si="17"/>
        <v>0</v>
      </c>
    </row>
    <row r="120" spans="1:8">
      <c r="A120" s="31" t="s">
        <v>413</v>
      </c>
      <c r="B120" s="31" t="s">
        <v>414</v>
      </c>
      <c r="C120" s="38"/>
      <c r="D120" s="38"/>
      <c r="E120" s="38"/>
      <c r="F120" s="38"/>
      <c r="G120" s="38"/>
      <c r="H120" s="40">
        <f t="shared" si="17"/>
        <v>0</v>
      </c>
    </row>
    <row r="121" spans="1:8">
      <c r="A121" s="31" t="s">
        <v>52</v>
      </c>
      <c r="B121" s="31" t="s">
        <v>53</v>
      </c>
      <c r="C121" s="39"/>
      <c r="D121" s="39"/>
      <c r="E121" s="39"/>
      <c r="F121" s="39"/>
      <c r="G121" s="38"/>
      <c r="H121" s="87">
        <f t="shared" si="17"/>
        <v>0</v>
      </c>
    </row>
    <row r="122" spans="1:8">
      <c r="B122" s="31" t="s">
        <v>241</v>
      </c>
      <c r="C122" s="38">
        <f>SUM(C108:C121)</f>
        <v>2000</v>
      </c>
      <c r="D122" s="38">
        <f t="shared" ref="D122:E122" si="18">SUM(D108:D121)</f>
        <v>250</v>
      </c>
      <c r="E122" s="38">
        <f t="shared" si="18"/>
        <v>250</v>
      </c>
      <c r="F122" s="38">
        <f t="shared" ref="F122" si="19">SUM(F108:F121)</f>
        <v>600</v>
      </c>
      <c r="G122" s="38"/>
      <c r="H122" s="40">
        <f>SUM(H108:H121)</f>
        <v>3100</v>
      </c>
    </row>
    <row r="123" spans="1:8">
      <c r="C123" s="38"/>
      <c r="D123" s="38"/>
      <c r="E123" s="38"/>
      <c r="F123" s="38"/>
      <c r="G123" s="38"/>
    </row>
    <row r="124" spans="1:8">
      <c r="A124" s="31" t="s">
        <v>242</v>
      </c>
      <c r="C124" s="38"/>
      <c r="D124" s="38"/>
      <c r="E124" s="38"/>
      <c r="F124" s="38"/>
      <c r="G124" s="38"/>
    </row>
    <row r="125" spans="1:8">
      <c r="A125" s="31" t="s">
        <v>56</v>
      </c>
      <c r="B125" s="31" t="s">
        <v>245</v>
      </c>
      <c r="C125" s="38"/>
      <c r="D125" s="38"/>
      <c r="E125" s="38"/>
      <c r="F125" s="38"/>
      <c r="G125" s="38"/>
      <c r="H125" s="40">
        <f t="shared" ref="H125:H132" si="20">+SUM(C125:G125)</f>
        <v>0</v>
      </c>
    </row>
    <row r="126" spans="1:8">
      <c r="A126" s="31" t="s">
        <v>57</v>
      </c>
      <c r="B126" s="31" t="s">
        <v>246</v>
      </c>
      <c r="C126" s="38"/>
      <c r="D126" s="38"/>
      <c r="E126" s="38"/>
      <c r="F126" s="38"/>
      <c r="G126" s="38"/>
      <c r="H126" s="40">
        <f t="shared" si="20"/>
        <v>0</v>
      </c>
    </row>
    <row r="127" spans="1:8">
      <c r="A127" s="31" t="s">
        <v>58</v>
      </c>
      <c r="B127" s="31" t="s">
        <v>247</v>
      </c>
      <c r="C127" s="38"/>
      <c r="D127" s="220">
        <v>100</v>
      </c>
      <c r="E127" s="220">
        <v>100</v>
      </c>
      <c r="F127" s="220">
        <v>100</v>
      </c>
      <c r="G127" s="38"/>
      <c r="H127" s="40">
        <f t="shared" si="20"/>
        <v>300</v>
      </c>
    </row>
    <row r="128" spans="1:8">
      <c r="A128" s="31" t="s">
        <v>55</v>
      </c>
      <c r="B128" s="31" t="s">
        <v>244</v>
      </c>
      <c r="C128" s="38"/>
      <c r="D128" s="38"/>
      <c r="E128" s="38"/>
      <c r="F128" s="38"/>
      <c r="G128" s="38"/>
      <c r="H128" s="40">
        <f t="shared" si="20"/>
        <v>0</v>
      </c>
    </row>
    <row r="129" spans="1:8" ht="10.5" customHeight="1">
      <c r="A129" s="31" t="s">
        <v>54</v>
      </c>
      <c r="B129" s="31" t="s">
        <v>243</v>
      </c>
      <c r="C129" s="38"/>
      <c r="D129" s="38"/>
      <c r="E129" s="38"/>
      <c r="F129" s="38"/>
      <c r="G129" s="38"/>
      <c r="H129" s="40">
        <f t="shared" si="20"/>
        <v>0</v>
      </c>
    </row>
    <row r="130" spans="1:8">
      <c r="A130" s="31" t="s">
        <v>60</v>
      </c>
      <c r="B130" s="31" t="s">
        <v>61</v>
      </c>
      <c r="C130" s="38"/>
      <c r="D130" s="220">
        <v>6500</v>
      </c>
      <c r="E130" s="220">
        <v>2000</v>
      </c>
      <c r="F130" s="220">
        <v>6500</v>
      </c>
      <c r="G130" s="38"/>
      <c r="H130" s="40">
        <f t="shared" si="20"/>
        <v>15000</v>
      </c>
    </row>
    <row r="131" spans="1:8">
      <c r="A131" s="31" t="s">
        <v>411</v>
      </c>
      <c r="B131" s="31" t="s">
        <v>412</v>
      </c>
      <c r="C131" s="38"/>
      <c r="D131" s="38"/>
      <c r="E131" s="38"/>
      <c r="F131" s="38"/>
      <c r="G131" s="38"/>
      <c r="H131" s="40">
        <f t="shared" si="20"/>
        <v>0</v>
      </c>
    </row>
    <row r="132" spans="1:8">
      <c r="A132" s="31" t="s">
        <v>62</v>
      </c>
      <c r="B132" s="31" t="s">
        <v>248</v>
      </c>
      <c r="C132" s="39"/>
      <c r="D132" s="39"/>
      <c r="E132" s="39"/>
      <c r="F132" s="39"/>
      <c r="G132" s="38"/>
      <c r="H132" s="87">
        <f t="shared" si="20"/>
        <v>0</v>
      </c>
    </row>
    <row r="133" spans="1:8">
      <c r="B133" s="31" t="s">
        <v>249</v>
      </c>
      <c r="C133" s="38">
        <f>SUM(C125:C132)</f>
        <v>0</v>
      </c>
      <c r="D133" s="38">
        <f t="shared" ref="D133:E133" si="21">SUM(D125:D132)</f>
        <v>6600</v>
      </c>
      <c r="E133" s="38">
        <f t="shared" si="21"/>
        <v>2100</v>
      </c>
      <c r="F133" s="38">
        <f t="shared" ref="F133" si="22">SUM(F125:F132)</f>
        <v>6600</v>
      </c>
      <c r="G133" s="38"/>
      <c r="H133" s="40">
        <f>SUM(H125:H132)</f>
        <v>15300</v>
      </c>
    </row>
    <row r="134" spans="1:8">
      <c r="C134" s="38"/>
      <c r="D134" s="38"/>
      <c r="E134" s="38"/>
      <c r="F134" s="38"/>
      <c r="G134" s="38"/>
    </row>
    <row r="135" spans="1:8">
      <c r="A135" s="31" t="s">
        <v>250</v>
      </c>
      <c r="C135" s="38"/>
      <c r="D135" s="38"/>
      <c r="E135" s="38"/>
      <c r="F135" s="38"/>
      <c r="G135" s="38"/>
    </row>
    <row r="136" spans="1:8">
      <c r="A136" s="31" t="s">
        <v>251</v>
      </c>
      <c r="C136" s="38"/>
      <c r="D136" s="38"/>
      <c r="E136" s="38"/>
      <c r="F136" s="38"/>
      <c r="G136" s="38"/>
    </row>
    <row r="137" spans="1:8">
      <c r="A137" s="31" t="s">
        <v>63</v>
      </c>
      <c r="B137" s="31" t="s">
        <v>252</v>
      </c>
      <c r="C137" s="38"/>
      <c r="D137" s="38"/>
      <c r="E137" s="38"/>
      <c r="F137" s="38"/>
      <c r="G137" s="38"/>
      <c r="H137" s="40">
        <f>+SUM(C137:G137)</f>
        <v>0</v>
      </c>
    </row>
    <row r="138" spans="1:8">
      <c r="A138" s="31" t="s">
        <v>64</v>
      </c>
      <c r="B138" s="31" t="s">
        <v>253</v>
      </c>
      <c r="C138" s="38"/>
      <c r="D138" s="38"/>
      <c r="E138" s="38"/>
      <c r="F138" s="38"/>
      <c r="G138" s="38"/>
      <c r="H138" s="40">
        <f>+SUM(C138:G138)</f>
        <v>0</v>
      </c>
    </row>
    <row r="139" spans="1:8">
      <c r="A139" s="31" t="s">
        <v>417</v>
      </c>
      <c r="B139" s="31" t="s">
        <v>418</v>
      </c>
      <c r="C139" s="38">
        <f>3432*1.05</f>
        <v>3603.6000000000004</v>
      </c>
      <c r="D139" s="38"/>
      <c r="E139" s="38"/>
      <c r="F139" s="38"/>
      <c r="G139" s="38"/>
      <c r="H139" s="40">
        <f>+SUM(C139:G139)</f>
        <v>3603.6000000000004</v>
      </c>
    </row>
    <row r="140" spans="1:8">
      <c r="A140" s="31" t="s">
        <v>65</v>
      </c>
      <c r="B140" s="31" t="s">
        <v>254</v>
      </c>
      <c r="C140" s="39"/>
      <c r="D140" s="39"/>
      <c r="E140" s="39"/>
      <c r="F140" s="39"/>
      <c r="G140" s="38"/>
      <c r="H140" s="87">
        <f>+SUM(C140:G140)</f>
        <v>0</v>
      </c>
    </row>
    <row r="141" spans="1:8">
      <c r="B141" s="31" t="s">
        <v>255</v>
      </c>
      <c r="C141" s="38">
        <f>SUM(C137:C140)</f>
        <v>3603.6000000000004</v>
      </c>
      <c r="D141" s="38">
        <f t="shared" ref="D141:E141" si="23">SUM(D137:D140)</f>
        <v>0</v>
      </c>
      <c r="E141" s="38">
        <f t="shared" si="23"/>
        <v>0</v>
      </c>
      <c r="F141" s="38">
        <f t="shared" ref="F141" si="24">SUM(F137:F140)</f>
        <v>0</v>
      </c>
      <c r="G141" s="38"/>
      <c r="H141" s="40">
        <f>SUM(H137:H140)</f>
        <v>3603.6000000000004</v>
      </c>
    </row>
    <row r="142" spans="1:8">
      <c r="C142" s="38"/>
      <c r="D142" s="38"/>
      <c r="E142" s="38"/>
      <c r="F142" s="38"/>
      <c r="G142" s="38"/>
    </row>
    <row r="143" spans="1:8">
      <c r="A143" s="31" t="s">
        <v>256</v>
      </c>
      <c r="C143" s="38"/>
      <c r="D143" s="38"/>
      <c r="E143" s="38"/>
      <c r="F143" s="38"/>
      <c r="G143" s="38"/>
    </row>
    <row r="144" spans="1:8">
      <c r="A144" s="31" t="s">
        <v>66</v>
      </c>
      <c r="B144" s="31" t="s">
        <v>257</v>
      </c>
      <c r="C144" s="38"/>
      <c r="D144" s="38"/>
      <c r="E144" s="38"/>
      <c r="F144" s="38"/>
      <c r="G144" s="38"/>
      <c r="H144" s="40">
        <f t="shared" ref="H144:H149" si="25">+SUM(C144:G144)</f>
        <v>0</v>
      </c>
    </row>
    <row r="145" spans="1:8">
      <c r="A145" s="31" t="s">
        <v>67</v>
      </c>
      <c r="B145" s="31" t="s">
        <v>258</v>
      </c>
      <c r="C145" s="38"/>
      <c r="D145" s="38"/>
      <c r="E145" s="38"/>
      <c r="F145" s="38"/>
      <c r="G145" s="38"/>
      <c r="H145" s="40">
        <f t="shared" si="25"/>
        <v>0</v>
      </c>
    </row>
    <row r="146" spans="1:8">
      <c r="A146" s="31" t="s">
        <v>68</v>
      </c>
      <c r="B146" s="31" t="s">
        <v>259</v>
      </c>
      <c r="C146" s="38">
        <f>55*12</f>
        <v>660</v>
      </c>
      <c r="D146" s="38"/>
      <c r="E146" s="38">
        <f>55*12</f>
        <v>660</v>
      </c>
      <c r="F146" s="38"/>
      <c r="G146" s="38"/>
      <c r="H146" s="40">
        <f t="shared" si="25"/>
        <v>1320</v>
      </c>
    </row>
    <row r="147" spans="1:8">
      <c r="A147" s="31" t="s">
        <v>69</v>
      </c>
      <c r="B147" s="31" t="s">
        <v>260</v>
      </c>
      <c r="C147" s="38"/>
      <c r="D147" s="38"/>
      <c r="E147" s="38"/>
      <c r="F147" s="38"/>
      <c r="G147" s="38"/>
      <c r="H147" s="40">
        <f t="shared" si="25"/>
        <v>0</v>
      </c>
    </row>
    <row r="148" spans="1:8" ht="12" customHeight="1">
      <c r="A148" s="31" t="s">
        <v>70</v>
      </c>
      <c r="B148" s="31" t="s">
        <v>261</v>
      </c>
      <c r="C148" s="38"/>
      <c r="D148" s="38"/>
      <c r="E148" s="38"/>
      <c r="F148" s="38"/>
      <c r="G148" s="38"/>
      <c r="H148" s="40">
        <f t="shared" si="25"/>
        <v>0</v>
      </c>
    </row>
    <row r="149" spans="1:8">
      <c r="A149" s="31" t="s">
        <v>425</v>
      </c>
      <c r="B149" s="31" t="s">
        <v>427</v>
      </c>
      <c r="C149" s="39"/>
      <c r="D149" s="39"/>
      <c r="E149" s="39"/>
      <c r="F149" s="39"/>
      <c r="G149" s="38"/>
      <c r="H149" s="87">
        <f t="shared" si="25"/>
        <v>0</v>
      </c>
    </row>
    <row r="150" spans="1:8">
      <c r="B150" s="31" t="s">
        <v>262</v>
      </c>
      <c r="C150" s="38">
        <f>SUM(C144:C149)</f>
        <v>660</v>
      </c>
      <c r="D150" s="38">
        <f t="shared" ref="D150:E150" si="26">SUM(D144:D149)</f>
        <v>0</v>
      </c>
      <c r="E150" s="38">
        <f t="shared" si="26"/>
        <v>660</v>
      </c>
      <c r="F150" s="38">
        <f t="shared" ref="F150" si="27">SUM(F144:F149)</f>
        <v>0</v>
      </c>
      <c r="G150" s="38"/>
      <c r="H150" s="40">
        <f>SUM(H144:H149)</f>
        <v>1320</v>
      </c>
    </row>
    <row r="151" spans="1:8">
      <c r="C151" s="38"/>
      <c r="D151" s="38"/>
      <c r="E151" s="38"/>
      <c r="F151" s="38"/>
      <c r="G151" s="38"/>
    </row>
    <row r="152" spans="1:8">
      <c r="A152" s="31" t="s">
        <v>263</v>
      </c>
      <c r="C152" s="38"/>
      <c r="D152" s="38"/>
      <c r="E152" s="38"/>
      <c r="F152" s="38"/>
      <c r="G152" s="38"/>
    </row>
    <row r="153" spans="1:8">
      <c r="A153" s="31" t="s">
        <v>264</v>
      </c>
      <c r="C153" s="38"/>
      <c r="D153" s="38"/>
      <c r="E153" s="38"/>
      <c r="F153" s="38"/>
      <c r="G153" s="38"/>
    </row>
    <row r="154" spans="1:8">
      <c r="A154" s="31" t="s">
        <v>71</v>
      </c>
      <c r="B154" s="31" t="s">
        <v>72</v>
      </c>
      <c r="C154" s="221">
        <v>2500</v>
      </c>
      <c r="D154" s="221">
        <v>400</v>
      </c>
      <c r="E154" s="221">
        <v>250</v>
      </c>
      <c r="F154" s="221">
        <v>450</v>
      </c>
      <c r="G154" s="38"/>
      <c r="H154" s="87">
        <f>+SUM(C154:G154)</f>
        <v>3600</v>
      </c>
    </row>
    <row r="155" spans="1:8">
      <c r="B155" s="31" t="s">
        <v>265</v>
      </c>
      <c r="C155" s="38">
        <f>SUM(C154)</f>
        <v>2500</v>
      </c>
      <c r="D155" s="38">
        <f t="shared" ref="D155:E155" si="28">SUM(D154)</f>
        <v>400</v>
      </c>
      <c r="E155" s="38">
        <f t="shared" si="28"/>
        <v>250</v>
      </c>
      <c r="F155" s="38">
        <f t="shared" ref="F155" si="29">SUM(F154)</f>
        <v>450</v>
      </c>
      <c r="G155" s="38"/>
      <c r="H155" s="40">
        <f>SUM(H154)</f>
        <v>3600</v>
      </c>
    </row>
    <row r="156" spans="1:8">
      <c r="C156" s="38"/>
      <c r="D156" s="38"/>
      <c r="E156" s="38"/>
      <c r="F156" s="38"/>
      <c r="G156" s="38"/>
    </row>
    <row r="157" spans="1:8">
      <c r="A157" s="31" t="s">
        <v>266</v>
      </c>
      <c r="C157" s="38"/>
      <c r="D157" s="38"/>
      <c r="E157" s="38"/>
      <c r="F157" s="38"/>
      <c r="G157" s="38"/>
    </row>
    <row r="158" spans="1:8">
      <c r="A158" s="31" t="s">
        <v>73</v>
      </c>
      <c r="B158" s="31" t="s">
        <v>74</v>
      </c>
      <c r="C158" s="38">
        <v>2000</v>
      </c>
      <c r="D158" s="38">
        <f>17280/588*SUM!B4</f>
        <v>18808.163265306124</v>
      </c>
      <c r="E158" s="38">
        <f>17280/588*SUM!B6</f>
        <v>6318.3673469387759</v>
      </c>
      <c r="F158" s="38">
        <f>17280/588*SUM!B7</f>
        <v>11755.102040816328</v>
      </c>
      <c r="G158" s="38"/>
      <c r="H158" s="40">
        <f t="shared" ref="H158:H170" si="30">+SUM(C158:G158)</f>
        <v>38881.632653061228</v>
      </c>
    </row>
    <row r="159" spans="1:8">
      <c r="A159" s="31" t="s">
        <v>75</v>
      </c>
      <c r="B159" s="31" t="s">
        <v>154</v>
      </c>
      <c r="C159" s="220">
        <v>2400</v>
      </c>
      <c r="D159" s="38"/>
      <c r="E159" s="38"/>
      <c r="F159" s="47"/>
      <c r="G159" s="38"/>
      <c r="H159" s="40">
        <f t="shared" si="30"/>
        <v>2400</v>
      </c>
    </row>
    <row r="160" spans="1:8">
      <c r="A160" s="31" t="s">
        <v>442</v>
      </c>
      <c r="B160" s="31" t="s">
        <v>97</v>
      </c>
      <c r="C160" s="220">
        <v>1000</v>
      </c>
      <c r="D160" s="220">
        <v>3000</v>
      </c>
      <c r="E160" s="220">
        <v>500</v>
      </c>
      <c r="F160" s="220">
        <v>33700</v>
      </c>
      <c r="G160" s="38"/>
      <c r="H160" s="40">
        <f t="shared" si="30"/>
        <v>38200</v>
      </c>
    </row>
    <row r="161" spans="1:8">
      <c r="A161" s="31" t="s">
        <v>443</v>
      </c>
      <c r="B161" s="31" t="s">
        <v>421</v>
      </c>
      <c r="C161" s="38"/>
      <c r="D161" s="38"/>
      <c r="E161" s="38"/>
      <c r="F161" s="38"/>
      <c r="G161" s="38"/>
      <c r="H161" s="40">
        <f t="shared" si="30"/>
        <v>0</v>
      </c>
    </row>
    <row r="162" spans="1:8">
      <c r="A162" s="31" t="s">
        <v>444</v>
      </c>
      <c r="B162" s="31" t="s">
        <v>423</v>
      </c>
      <c r="C162" s="38"/>
      <c r="D162" s="38"/>
      <c r="E162" s="38"/>
      <c r="F162" s="38"/>
      <c r="G162" s="38"/>
      <c r="H162" s="40">
        <f t="shared" si="30"/>
        <v>0</v>
      </c>
    </row>
    <row r="163" spans="1:8">
      <c r="A163" s="31" t="s">
        <v>445</v>
      </c>
      <c r="B163" s="31" t="s">
        <v>416</v>
      </c>
      <c r="C163" s="220">
        <v>1500</v>
      </c>
      <c r="D163" s="38"/>
      <c r="E163" s="38"/>
      <c r="F163" s="38"/>
      <c r="G163" s="38"/>
      <c r="H163" s="40">
        <f t="shared" si="30"/>
        <v>1500</v>
      </c>
    </row>
    <row r="164" spans="1:8">
      <c r="A164" s="31" t="s">
        <v>76</v>
      </c>
      <c r="B164" s="31" t="s">
        <v>155</v>
      </c>
      <c r="C164" s="38"/>
      <c r="D164" s="38">
        <f>147000/625*SUM!B4</f>
        <v>150528</v>
      </c>
      <c r="E164" s="38">
        <f>147000/625*SUM!B6</f>
        <v>50568</v>
      </c>
      <c r="F164" s="38">
        <f>147000/625*SUM!B7</f>
        <v>94080</v>
      </c>
      <c r="G164" s="38"/>
      <c r="H164" s="40">
        <f t="shared" si="30"/>
        <v>295176</v>
      </c>
    </row>
    <row r="165" spans="1:8">
      <c r="A165" s="31" t="s">
        <v>79</v>
      </c>
      <c r="B165" s="31" t="s">
        <v>156</v>
      </c>
      <c r="C165" s="38"/>
      <c r="D165" s="38">
        <f>3500/588*SUM!B4</f>
        <v>3809.5238095238096</v>
      </c>
      <c r="E165" s="38">
        <f>3500/588*SUM!B6</f>
        <v>1279.7619047619048</v>
      </c>
      <c r="F165" s="38">
        <f>3500/588*SUM!B7</f>
        <v>2380.9523809523812</v>
      </c>
      <c r="G165" s="38"/>
      <c r="H165" s="40">
        <f t="shared" si="30"/>
        <v>7470.2380952380954</v>
      </c>
    </row>
    <row r="166" spans="1:8">
      <c r="A166" s="31" t="s">
        <v>78</v>
      </c>
      <c r="B166" s="31" t="s">
        <v>157</v>
      </c>
      <c r="C166" s="38"/>
      <c r="D166" s="38">
        <f>100*10/588*SUM!B4</f>
        <v>1088.4353741496598</v>
      </c>
      <c r="E166" s="38">
        <f>100*10/588*SUM!B6</f>
        <v>365.64625850340133</v>
      </c>
      <c r="F166" s="38">
        <f>100*10/588*SUM!B7</f>
        <v>680.27210884353735</v>
      </c>
      <c r="G166" s="38"/>
      <c r="H166" s="40">
        <f t="shared" si="30"/>
        <v>2134.3537414965986</v>
      </c>
    </row>
    <row r="167" spans="1:8">
      <c r="A167" s="31" t="s">
        <v>77</v>
      </c>
      <c r="B167" s="31" t="s">
        <v>158</v>
      </c>
      <c r="C167" s="38"/>
      <c r="D167" s="38"/>
      <c r="E167" s="38"/>
      <c r="F167" s="38"/>
      <c r="G167" s="38"/>
      <c r="H167" s="40">
        <f t="shared" si="30"/>
        <v>0</v>
      </c>
    </row>
    <row r="168" spans="1:8">
      <c r="A168" s="31" t="s">
        <v>80</v>
      </c>
      <c r="B168" s="31" t="s">
        <v>159</v>
      </c>
      <c r="C168" s="38"/>
      <c r="D168" s="38"/>
      <c r="E168" s="38"/>
      <c r="F168" s="38"/>
      <c r="G168" s="38"/>
      <c r="H168" s="40">
        <f t="shared" si="30"/>
        <v>0</v>
      </c>
    </row>
    <row r="169" spans="1:8">
      <c r="A169" s="31" t="s">
        <v>81</v>
      </c>
      <c r="B169" s="31" t="s">
        <v>160</v>
      </c>
      <c r="C169" s="38"/>
      <c r="D169" s="38"/>
      <c r="E169" s="38"/>
      <c r="F169" s="38"/>
      <c r="G169" s="38"/>
      <c r="H169" s="40">
        <f t="shared" si="30"/>
        <v>0</v>
      </c>
    </row>
    <row r="170" spans="1:8">
      <c r="A170" s="31" t="s">
        <v>161</v>
      </c>
      <c r="B170" s="31" t="s">
        <v>162</v>
      </c>
      <c r="C170" s="39"/>
      <c r="D170" s="39"/>
      <c r="E170" s="39"/>
      <c r="F170" s="39"/>
      <c r="G170" s="38"/>
      <c r="H170" s="87">
        <f t="shared" si="30"/>
        <v>0</v>
      </c>
    </row>
    <row r="171" spans="1:8">
      <c r="B171" s="31" t="s">
        <v>163</v>
      </c>
      <c r="C171" s="38">
        <f>SUM(C158:C170)</f>
        <v>6900</v>
      </c>
      <c r="D171" s="38">
        <f t="shared" ref="D171:E171" si="31">SUM(D158:D170)</f>
        <v>177234.12244897959</v>
      </c>
      <c r="E171" s="38">
        <f t="shared" si="31"/>
        <v>59031.775510204083</v>
      </c>
      <c r="F171" s="38">
        <f t="shared" ref="F171" si="32">SUM(F158:F170)</f>
        <v>142596.32653061225</v>
      </c>
      <c r="G171" s="38"/>
      <c r="H171" s="40">
        <f>SUM(H158:H170)</f>
        <v>385762.22448979598</v>
      </c>
    </row>
    <row r="172" spans="1:8">
      <c r="C172" s="38"/>
      <c r="D172" s="38"/>
      <c r="E172" s="38"/>
      <c r="F172" s="38"/>
      <c r="G172" s="38"/>
    </row>
    <row r="173" spans="1:8">
      <c r="A173" s="31" t="s">
        <v>164</v>
      </c>
      <c r="C173" s="38"/>
      <c r="D173" s="38"/>
      <c r="E173" s="38"/>
      <c r="F173" s="38"/>
      <c r="G173" s="38"/>
    </row>
    <row r="174" spans="1:8">
      <c r="A174" s="31" t="s">
        <v>165</v>
      </c>
      <c r="C174" s="38"/>
      <c r="D174" s="38"/>
      <c r="E174" s="38"/>
      <c r="F174" s="38"/>
      <c r="G174" s="38"/>
    </row>
    <row r="175" spans="1:8">
      <c r="A175" s="31" t="s">
        <v>86</v>
      </c>
      <c r="B175" s="31" t="s">
        <v>85</v>
      </c>
      <c r="C175" s="38">
        <v>120</v>
      </c>
      <c r="D175" s="38"/>
      <c r="E175" s="38"/>
      <c r="F175" s="38"/>
      <c r="G175" s="38"/>
      <c r="H175" s="40">
        <f t="shared" ref="H175:H185" si="33">+SUM(C175:G175)</f>
        <v>120</v>
      </c>
    </row>
    <row r="176" spans="1:8">
      <c r="A176" s="31" t="s">
        <v>91</v>
      </c>
      <c r="B176" s="31" t="s">
        <v>92</v>
      </c>
      <c r="C176" s="38"/>
      <c r="D176" s="38"/>
      <c r="E176" s="38"/>
      <c r="F176" s="38"/>
      <c r="G176" s="38"/>
      <c r="H176" s="40">
        <f t="shared" si="33"/>
        <v>0</v>
      </c>
    </row>
    <row r="177" spans="1:8">
      <c r="A177" s="31" t="s">
        <v>93</v>
      </c>
      <c r="B177" s="31" t="s">
        <v>94</v>
      </c>
      <c r="C177" s="38"/>
      <c r="D177" s="38"/>
      <c r="E177" s="38"/>
      <c r="F177" s="38"/>
      <c r="G177" s="38"/>
      <c r="H177" s="40">
        <f t="shared" si="33"/>
        <v>0</v>
      </c>
    </row>
    <row r="178" spans="1:8">
      <c r="A178" s="31" t="s">
        <v>95</v>
      </c>
      <c r="B178" s="31" t="s">
        <v>405</v>
      </c>
      <c r="C178" s="38"/>
      <c r="D178" s="38"/>
      <c r="E178" s="38"/>
      <c r="F178" s="38">
        <v>51500</v>
      </c>
      <c r="G178" s="38"/>
      <c r="H178" s="40">
        <f t="shared" si="33"/>
        <v>51500</v>
      </c>
    </row>
    <row r="179" spans="1:8">
      <c r="A179" s="31" t="s">
        <v>96</v>
      </c>
      <c r="B179" s="31" t="s">
        <v>404</v>
      </c>
      <c r="C179" s="38"/>
      <c r="D179" s="38"/>
      <c r="E179" s="38"/>
      <c r="F179" s="38"/>
      <c r="G179" s="38"/>
      <c r="H179" s="40">
        <f t="shared" si="33"/>
        <v>0</v>
      </c>
    </row>
    <row r="180" spans="1:8">
      <c r="A180" s="31" t="s">
        <v>98</v>
      </c>
      <c r="B180" s="31" t="s">
        <v>99</v>
      </c>
      <c r="C180" s="38"/>
      <c r="D180" s="38"/>
      <c r="E180" s="38"/>
      <c r="F180" s="38"/>
      <c r="G180" s="38"/>
      <c r="H180" s="40">
        <f t="shared" si="33"/>
        <v>0</v>
      </c>
    </row>
    <row r="181" spans="1:8">
      <c r="A181" s="31" t="s">
        <v>100</v>
      </c>
      <c r="B181" s="31" t="s">
        <v>284</v>
      </c>
      <c r="C181" s="38"/>
      <c r="D181" s="38"/>
      <c r="E181" s="38"/>
      <c r="F181" s="38"/>
      <c r="G181" s="38"/>
      <c r="H181" s="40">
        <f t="shared" si="33"/>
        <v>0</v>
      </c>
    </row>
    <row r="182" spans="1:8">
      <c r="A182" s="31" t="s">
        <v>101</v>
      </c>
      <c r="B182" s="31" t="s">
        <v>102</v>
      </c>
      <c r="C182" s="38"/>
      <c r="D182" s="38"/>
      <c r="E182" s="38"/>
      <c r="F182" s="38"/>
      <c r="G182" s="38"/>
      <c r="H182" s="40">
        <f t="shared" si="33"/>
        <v>0</v>
      </c>
    </row>
    <row r="183" spans="1:8">
      <c r="A183" s="31" t="s">
        <v>105</v>
      </c>
      <c r="B183" s="31" t="s">
        <v>167</v>
      </c>
      <c r="C183" s="38"/>
      <c r="D183" s="38"/>
      <c r="E183" s="38"/>
      <c r="F183" s="38"/>
      <c r="G183" s="38"/>
      <c r="H183" s="40">
        <f t="shared" si="33"/>
        <v>0</v>
      </c>
    </row>
    <row r="184" spans="1:8">
      <c r="A184" s="31" t="s">
        <v>106</v>
      </c>
      <c r="B184" s="31" t="s">
        <v>107</v>
      </c>
      <c r="C184" s="220">
        <v>5000</v>
      </c>
      <c r="D184" s="38"/>
      <c r="E184" s="38"/>
      <c r="F184" s="38"/>
      <c r="G184" s="38"/>
      <c r="H184" s="40">
        <f t="shared" si="33"/>
        <v>5000</v>
      </c>
    </row>
    <row r="185" spans="1:8">
      <c r="A185" s="31" t="s">
        <v>428</v>
      </c>
      <c r="B185" s="31" t="s">
        <v>429</v>
      </c>
      <c r="C185" s="221">
        <v>750</v>
      </c>
      <c r="D185" s="39"/>
      <c r="E185" s="39"/>
      <c r="F185" s="39"/>
      <c r="G185" s="38"/>
      <c r="H185" s="87">
        <f t="shared" si="33"/>
        <v>750</v>
      </c>
    </row>
    <row r="186" spans="1:8">
      <c r="B186" s="31" t="s">
        <v>168</v>
      </c>
      <c r="C186" s="38">
        <f>SUM(C175:C185)</f>
        <v>5870</v>
      </c>
      <c r="D186" s="38">
        <f t="shared" ref="D186:E186" si="34">SUM(D175:D185)</f>
        <v>0</v>
      </c>
      <c r="E186" s="38">
        <f t="shared" si="34"/>
        <v>0</v>
      </c>
      <c r="F186" s="38">
        <f t="shared" ref="F186" si="35">SUM(F175:F185)</f>
        <v>51500</v>
      </c>
      <c r="G186" s="38"/>
      <c r="H186" s="40">
        <f>SUM(H175:H185)</f>
        <v>57370</v>
      </c>
    </row>
    <row r="187" spans="1:8">
      <c r="C187" s="38"/>
      <c r="D187" s="38"/>
      <c r="E187" s="38"/>
      <c r="F187" s="38"/>
      <c r="G187" s="38"/>
    </row>
    <row r="188" spans="1:8" s="4" customFormat="1">
      <c r="A188" s="35"/>
      <c r="B188" s="35" t="s">
        <v>169</v>
      </c>
      <c r="C188" s="40">
        <f>+C122+C133+C141+C150+C155+C171+C186</f>
        <v>21533.599999999999</v>
      </c>
      <c r="D188" s="40">
        <f>+D122+D133+D141+D150+D155+D171+D186</f>
        <v>184484.12244897959</v>
      </c>
      <c r="E188" s="40">
        <f>+E122+E133+E141+E150+E155+E171+E186</f>
        <v>62291.775510204083</v>
      </c>
      <c r="F188" s="40">
        <f>+F122+F133+F141+F150+F155+F171+F186</f>
        <v>201746.32653061225</v>
      </c>
      <c r="G188" s="40"/>
      <c r="H188" s="40">
        <f>+SUM(C188:G188)</f>
        <v>470055.82448979589</v>
      </c>
    </row>
    <row r="189" spans="1:8">
      <c r="C189" s="38"/>
      <c r="D189" s="38"/>
      <c r="E189" s="38"/>
      <c r="F189" s="38"/>
      <c r="G189" s="38"/>
    </row>
    <row r="190" spans="1:8">
      <c r="B190" s="35" t="s">
        <v>435</v>
      </c>
      <c r="C190" s="38"/>
      <c r="D190" s="38"/>
      <c r="E190" s="38"/>
      <c r="F190" s="38"/>
      <c r="G190" s="38"/>
    </row>
    <row r="191" spans="1:8" s="4" customFormat="1">
      <c r="A191" s="31"/>
      <c r="B191" s="31"/>
      <c r="C191" s="40">
        <f>+C68-C104-C188</f>
        <v>-94401.826099830971</v>
      </c>
      <c r="D191" s="40">
        <f>+D68-D104-D188</f>
        <v>-4634.2352886889421</v>
      </c>
      <c r="E191" s="40">
        <f>+E68-E104-E188</f>
        <v>-6434.2794054380865</v>
      </c>
      <c r="F191" s="40">
        <f>+F68-F104-F188</f>
        <v>-127280.62413600886</v>
      </c>
      <c r="G191" s="40"/>
      <c r="H191" s="40">
        <f>+SUM(C191:G191)</f>
        <v>-232750.96492996684</v>
      </c>
    </row>
    <row r="192" spans="1:8">
      <c r="A192" s="35"/>
      <c r="B192" s="35" t="s">
        <v>170</v>
      </c>
    </row>
    <row r="194" spans="1:2">
      <c r="A194" s="78"/>
    </row>
    <row r="195" spans="1:2">
      <c r="A195" s="78"/>
    </row>
    <row r="196" spans="1:2">
      <c r="B196" s="26"/>
    </row>
  </sheetData>
  <phoneticPr fontId="5" type="noConversion"/>
  <pageMargins left="0.17" right="0.17" top="1.38" bottom="0.46" header="0.17" footer="0.17"/>
  <pageSetup orientation="portrait"/>
  <headerFooter alignWithMargins="0">
    <oddHeader>&amp;C&amp;"MS Sans Serif,Bold"&amp;18ISL
BUDGET '13-2014
FOOD SERVICE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2:D196"/>
  <sheetViews>
    <sheetView workbookViewId="0">
      <pane xSplit="2" ySplit="10" topLeftCell="C69" activePane="bottomRight" state="frozen"/>
      <selection pane="topRight" activeCell="C1" sqref="C1"/>
      <selection pane="bottomLeft" activeCell="A11" sqref="A11"/>
      <selection pane="bottomRight" activeCell="C77" sqref="C77"/>
    </sheetView>
  </sheetViews>
  <sheetFormatPr baseColWidth="10" defaultColWidth="11.42578125" defaultRowHeight="10" x14ac:dyDescent="0"/>
  <cols>
    <col min="1" max="1" width="15" style="31" customWidth="1"/>
    <col min="2" max="2" width="26.85546875" style="31" customWidth="1"/>
    <col min="3" max="3" width="9.28515625" style="1" customWidth="1"/>
    <col min="4" max="16384" width="11.42578125" style="1"/>
  </cols>
  <sheetData>
    <row r="2" spans="1:4">
      <c r="B2" s="30" t="s">
        <v>614</v>
      </c>
    </row>
    <row r="3" spans="1:4">
      <c r="B3" s="174" t="s">
        <v>584</v>
      </c>
    </row>
    <row r="4" spans="1:4">
      <c r="A4" s="31" t="s">
        <v>433</v>
      </c>
      <c r="B4" s="32">
        <v>490</v>
      </c>
    </row>
    <row r="5" spans="1:4">
      <c r="A5" s="31" t="s">
        <v>586</v>
      </c>
      <c r="B5" s="32">
        <v>150</v>
      </c>
    </row>
    <row r="6" spans="1:4">
      <c r="A6" s="31" t="s">
        <v>434</v>
      </c>
      <c r="B6" s="32">
        <v>215</v>
      </c>
    </row>
    <row r="7" spans="1:4" s="8" customFormat="1">
      <c r="A7" s="28" t="s">
        <v>587</v>
      </c>
      <c r="B7" s="32">
        <v>400</v>
      </c>
      <c r="C7" s="222">
        <v>2</v>
      </c>
      <c r="D7" s="55">
        <v>2</v>
      </c>
    </row>
    <row r="8" spans="1:4">
      <c r="B8" s="175">
        <f>SUM(B4:B7)</f>
        <v>1255</v>
      </c>
    </row>
    <row r="9" spans="1:4">
      <c r="C9" s="56" t="s">
        <v>184</v>
      </c>
      <c r="D9" s="1" t="s">
        <v>186</v>
      </c>
    </row>
    <row r="10" spans="1:4" s="7" customFormat="1" ht="11" thickBot="1">
      <c r="A10" s="33"/>
      <c r="B10" s="33" t="s">
        <v>174</v>
      </c>
      <c r="C10" s="165">
        <v>2125</v>
      </c>
      <c r="D10" s="7">
        <v>2830</v>
      </c>
    </row>
    <row r="11" spans="1:4">
      <c r="A11" s="31" t="s">
        <v>268</v>
      </c>
    </row>
    <row r="12" spans="1:4">
      <c r="A12" s="31" t="s">
        <v>269</v>
      </c>
    </row>
    <row r="13" spans="1:4">
      <c r="A13" s="31" t="s">
        <v>171</v>
      </c>
      <c r="B13" s="31" t="s">
        <v>270</v>
      </c>
      <c r="C13" s="38"/>
    </row>
    <row r="14" spans="1:4">
      <c r="A14" s="31" t="s">
        <v>172</v>
      </c>
      <c r="B14" s="31" t="s">
        <v>271</v>
      </c>
      <c r="C14" s="38"/>
    </row>
    <row r="15" spans="1:4">
      <c r="A15" s="31" t="s">
        <v>173</v>
      </c>
      <c r="B15" s="31" t="s">
        <v>272</v>
      </c>
      <c r="C15" s="38"/>
    </row>
    <row r="16" spans="1:4">
      <c r="A16" s="31" t="s">
        <v>193</v>
      </c>
      <c r="B16" s="31" t="s">
        <v>273</v>
      </c>
      <c r="C16" s="38"/>
    </row>
    <row r="17" spans="1:3">
      <c r="A17" s="31" t="s">
        <v>194</v>
      </c>
      <c r="B17" s="31" t="s">
        <v>274</v>
      </c>
      <c r="C17" s="38"/>
    </row>
    <row r="18" spans="1:3">
      <c r="A18" s="31" t="s">
        <v>195</v>
      </c>
      <c r="B18" s="31" t="s">
        <v>275</v>
      </c>
      <c r="C18" s="38"/>
    </row>
    <row r="19" spans="1:3">
      <c r="A19" s="31" t="s">
        <v>196</v>
      </c>
      <c r="B19" s="31" t="s">
        <v>276</v>
      </c>
      <c r="C19" s="38"/>
    </row>
    <row r="20" spans="1:3">
      <c r="A20" s="31" t="s">
        <v>197</v>
      </c>
      <c r="B20" s="31" t="s">
        <v>277</v>
      </c>
      <c r="C20" s="38"/>
    </row>
    <row r="21" spans="1:3">
      <c r="A21" s="31" t="s">
        <v>198</v>
      </c>
      <c r="B21" s="31" t="s">
        <v>278</v>
      </c>
      <c r="C21" s="38"/>
    </row>
    <row r="22" spans="1:3">
      <c r="A22" s="31" t="s">
        <v>199</v>
      </c>
      <c r="B22" s="31" t="s">
        <v>279</v>
      </c>
      <c r="C22" s="38"/>
    </row>
    <row r="23" spans="1:3">
      <c r="A23" s="31" t="s">
        <v>200</v>
      </c>
      <c r="B23" s="31" t="s">
        <v>280</v>
      </c>
      <c r="C23" s="38"/>
    </row>
    <row r="24" spans="1:3">
      <c r="A24" s="31" t="s">
        <v>201</v>
      </c>
      <c r="B24" s="31" t="s">
        <v>281</v>
      </c>
      <c r="C24" s="38"/>
    </row>
    <row r="25" spans="1:3">
      <c r="A25" s="31" t="s">
        <v>202</v>
      </c>
      <c r="B25" s="31" t="s">
        <v>282</v>
      </c>
      <c r="C25" s="38"/>
    </row>
    <row r="26" spans="1:3">
      <c r="A26" s="31" t="s">
        <v>203</v>
      </c>
      <c r="B26" s="31" t="s">
        <v>283</v>
      </c>
      <c r="C26" s="38"/>
    </row>
    <row r="27" spans="1:3">
      <c r="A27" s="31" t="s">
        <v>204</v>
      </c>
      <c r="B27" s="31" t="s">
        <v>284</v>
      </c>
      <c r="C27" s="38"/>
    </row>
    <row r="28" spans="1:3">
      <c r="A28" s="31" t="s">
        <v>205</v>
      </c>
      <c r="B28" s="31" t="s">
        <v>285</v>
      </c>
      <c r="C28" s="38"/>
    </row>
    <row r="29" spans="1:3">
      <c r="A29" s="31" t="s">
        <v>206</v>
      </c>
      <c r="B29" s="31" t="s">
        <v>286</v>
      </c>
      <c r="C29" s="38"/>
    </row>
    <row r="30" spans="1:3">
      <c r="A30" s="31" t="s">
        <v>208</v>
      </c>
      <c r="B30" s="31" t="s">
        <v>287</v>
      </c>
      <c r="C30" s="38"/>
    </row>
    <row r="31" spans="1:3">
      <c r="A31" s="31" t="s">
        <v>207</v>
      </c>
      <c r="B31" s="31" t="s">
        <v>288</v>
      </c>
    </row>
    <row r="32" spans="1:3">
      <c r="A32" s="31" t="s">
        <v>209</v>
      </c>
      <c r="B32" s="31" t="s">
        <v>210</v>
      </c>
      <c r="C32" s="38"/>
    </row>
    <row r="33" spans="1:4">
      <c r="A33" s="31" t="s">
        <v>213</v>
      </c>
      <c r="B33" s="31" t="s">
        <v>214</v>
      </c>
      <c r="C33" s="38"/>
    </row>
    <row r="34" spans="1:4">
      <c r="A34" s="31" t="s">
        <v>212</v>
      </c>
      <c r="B34" s="31" t="s">
        <v>289</v>
      </c>
      <c r="C34" s="38"/>
    </row>
    <row r="35" spans="1:4">
      <c r="A35" s="31" t="s">
        <v>211</v>
      </c>
      <c r="B35" s="31" t="s">
        <v>290</v>
      </c>
      <c r="C35" s="38"/>
    </row>
    <row r="36" spans="1:4">
      <c r="A36" s="31" t="s">
        <v>215</v>
      </c>
      <c r="B36" s="31" t="s">
        <v>291</v>
      </c>
      <c r="C36" s="38"/>
    </row>
    <row r="37" spans="1:4">
      <c r="A37" s="31" t="s">
        <v>216</v>
      </c>
      <c r="B37" s="31" t="s">
        <v>292</v>
      </c>
      <c r="C37" s="39"/>
      <c r="D37" s="6"/>
    </row>
    <row r="38" spans="1:4">
      <c r="B38" s="31" t="s">
        <v>293</v>
      </c>
      <c r="C38" s="38">
        <f>+SUM(C13:C37)</f>
        <v>0</v>
      </c>
      <c r="D38" s="1">
        <f>SUM(D13:D37)</f>
        <v>0</v>
      </c>
    </row>
    <row r="39" spans="1:4">
      <c r="C39" s="38"/>
    </row>
    <row r="40" spans="1:4">
      <c r="A40" s="31" t="s">
        <v>294</v>
      </c>
      <c r="C40" s="38"/>
    </row>
    <row r="41" spans="1:4">
      <c r="A41" s="31" t="s">
        <v>217</v>
      </c>
      <c r="B41" s="31" t="s">
        <v>295</v>
      </c>
      <c r="C41" s="38"/>
    </row>
    <row r="42" spans="1:4">
      <c r="A42" s="31" t="s">
        <v>218</v>
      </c>
      <c r="B42" s="31" t="s">
        <v>219</v>
      </c>
      <c r="C42" s="38"/>
    </row>
    <row r="43" spans="1:4">
      <c r="A43" s="31" t="s">
        <v>220</v>
      </c>
      <c r="B43" s="31" t="s">
        <v>221</v>
      </c>
      <c r="C43" s="38"/>
    </row>
    <row r="44" spans="1:4">
      <c r="A44" s="31" t="s">
        <v>222</v>
      </c>
      <c r="B44" s="31" t="s">
        <v>296</v>
      </c>
      <c r="C44" s="38"/>
    </row>
    <row r="45" spans="1:4">
      <c r="A45" s="31" t="s">
        <v>223</v>
      </c>
      <c r="B45" s="31" t="s">
        <v>224</v>
      </c>
      <c r="C45" s="38"/>
    </row>
    <row r="46" spans="1:4">
      <c r="A46" s="31" t="s">
        <v>225</v>
      </c>
      <c r="B46" s="31" t="s">
        <v>226</v>
      </c>
      <c r="C46" s="38"/>
    </row>
    <row r="47" spans="1:4">
      <c r="A47" s="31" t="s">
        <v>227</v>
      </c>
      <c r="B47" s="31" t="s">
        <v>297</v>
      </c>
      <c r="C47" s="38"/>
    </row>
    <row r="48" spans="1:4">
      <c r="A48" s="31" t="s">
        <v>228</v>
      </c>
      <c r="B48" s="31" t="s">
        <v>298</v>
      </c>
      <c r="C48" s="39"/>
      <c r="D48" s="6"/>
    </row>
    <row r="49" spans="1:4">
      <c r="B49" s="31" t="s">
        <v>299</v>
      </c>
      <c r="C49" s="38">
        <f>+SUM(C41:C48)</f>
        <v>0</v>
      </c>
      <c r="D49" s="1">
        <f>SUM(D41:D48)</f>
        <v>0</v>
      </c>
    </row>
    <row r="50" spans="1:4">
      <c r="C50" s="38"/>
    </row>
    <row r="51" spans="1:4">
      <c r="A51" s="31" t="s">
        <v>300</v>
      </c>
      <c r="C51" s="38"/>
    </row>
    <row r="52" spans="1:4">
      <c r="A52" s="31" t="s">
        <v>301</v>
      </c>
      <c r="C52" s="38"/>
    </row>
    <row r="53" spans="1:4">
      <c r="A53" s="31" t="s">
        <v>229</v>
      </c>
      <c r="B53" s="31" t="s">
        <v>389</v>
      </c>
      <c r="C53" s="38"/>
    </row>
    <row r="54" spans="1:4">
      <c r="A54" s="31" t="s">
        <v>230</v>
      </c>
      <c r="B54" s="31" t="s">
        <v>390</v>
      </c>
      <c r="C54" s="38"/>
    </row>
    <row r="55" spans="1:4">
      <c r="A55" s="31" t="s">
        <v>231</v>
      </c>
      <c r="B55" s="31" t="s">
        <v>391</v>
      </c>
      <c r="C55" s="38"/>
    </row>
    <row r="56" spans="1:4">
      <c r="A56" s="31" t="s">
        <v>232</v>
      </c>
      <c r="B56" s="31" t="s">
        <v>302</v>
      </c>
      <c r="C56" s="38"/>
    </row>
    <row r="57" spans="1:4">
      <c r="A57" s="31" t="s">
        <v>233</v>
      </c>
      <c r="B57" s="31" t="s">
        <v>303</v>
      </c>
      <c r="C57" s="38"/>
    </row>
    <row r="58" spans="1:4">
      <c r="A58" s="31" t="s">
        <v>0</v>
      </c>
      <c r="B58" s="31" t="s">
        <v>304</v>
      </c>
      <c r="C58" s="38"/>
    </row>
    <row r="59" spans="1:4">
      <c r="A59" s="31" t="s">
        <v>1</v>
      </c>
      <c r="B59" s="31" t="s">
        <v>305</v>
      </c>
      <c r="C59" s="38"/>
    </row>
    <row r="60" spans="1:4">
      <c r="A60" s="31" t="s">
        <v>3</v>
      </c>
      <c r="B60" s="31" t="s">
        <v>2</v>
      </c>
      <c r="C60" s="38"/>
    </row>
    <row r="61" spans="1:4">
      <c r="A61" s="31" t="s">
        <v>4</v>
      </c>
      <c r="B61" s="31" t="s">
        <v>5</v>
      </c>
      <c r="C61" s="38"/>
    </row>
    <row r="62" spans="1:4">
      <c r="A62" s="31" t="s">
        <v>6</v>
      </c>
      <c r="B62" s="31" t="s">
        <v>7</v>
      </c>
      <c r="C62" s="38"/>
    </row>
    <row r="63" spans="1:4">
      <c r="A63" s="31" t="s">
        <v>8</v>
      </c>
      <c r="B63" s="31" t="s">
        <v>9</v>
      </c>
      <c r="C63" s="38"/>
    </row>
    <row r="64" spans="1:4">
      <c r="A64" s="31" t="s">
        <v>11</v>
      </c>
      <c r="B64" s="31" t="s">
        <v>307</v>
      </c>
      <c r="C64" s="38"/>
    </row>
    <row r="65" spans="1:4">
      <c r="A65" s="31" t="s">
        <v>10</v>
      </c>
      <c r="B65" s="31" t="s">
        <v>306</v>
      </c>
      <c r="C65" s="39"/>
      <c r="D65" s="6"/>
    </row>
    <row r="66" spans="1:4">
      <c r="B66" s="31" t="s">
        <v>308</v>
      </c>
      <c r="C66" s="38">
        <f>+SUM(C53:C65)</f>
        <v>0</v>
      </c>
      <c r="D66" s="1">
        <f>SUM(D53:D65)</f>
        <v>0</v>
      </c>
    </row>
    <row r="67" spans="1:4">
      <c r="C67" s="38"/>
    </row>
    <row r="68" spans="1:4" s="37" customFormat="1">
      <c r="A68" s="35"/>
      <c r="B68" s="35" t="s">
        <v>309</v>
      </c>
      <c r="C68" s="40">
        <f>+C66+C49+C38</f>
        <v>0</v>
      </c>
      <c r="D68" s="37">
        <f>SUM(D38+D49+D66)</f>
        <v>0</v>
      </c>
    </row>
    <row r="69" spans="1:4">
      <c r="C69" s="38"/>
    </row>
    <row r="70" spans="1:4">
      <c r="A70" s="31" t="s">
        <v>310</v>
      </c>
      <c r="C70" s="38"/>
    </row>
    <row r="71" spans="1:4">
      <c r="A71" s="31" t="s">
        <v>311</v>
      </c>
      <c r="C71" s="38"/>
    </row>
    <row r="72" spans="1:4">
      <c r="A72" s="31" t="s">
        <v>19</v>
      </c>
      <c r="B72" s="31" t="s">
        <v>320</v>
      </c>
      <c r="C72" s="38"/>
      <c r="D72" s="21">
        <f>SUM('13-2014 Ret Emp'!I80)</f>
        <v>71966.722113877739</v>
      </c>
    </row>
    <row r="73" spans="1:4">
      <c r="A73" s="31" t="s">
        <v>12</v>
      </c>
      <c r="B73" s="31" t="s">
        <v>312</v>
      </c>
      <c r="C73" s="38"/>
      <c r="D73" s="21"/>
    </row>
    <row r="74" spans="1:4">
      <c r="A74" s="31" t="s">
        <v>13</v>
      </c>
      <c r="B74" s="31" t="s">
        <v>313</v>
      </c>
      <c r="C74" s="38"/>
      <c r="D74" s="21"/>
    </row>
    <row r="75" spans="1:4">
      <c r="A75" s="31" t="s">
        <v>14</v>
      </c>
      <c r="B75" s="31" t="s">
        <v>314</v>
      </c>
      <c r="C75" s="38"/>
      <c r="D75" s="21"/>
    </row>
    <row r="76" spans="1:4">
      <c r="A76" s="31" t="s">
        <v>15</v>
      </c>
      <c r="B76" s="31" t="s">
        <v>315</v>
      </c>
      <c r="C76" s="38"/>
      <c r="D76" s="21"/>
    </row>
    <row r="77" spans="1:4">
      <c r="A77" s="31" t="s">
        <v>16</v>
      </c>
      <c r="B77" s="31" t="s">
        <v>316</v>
      </c>
      <c r="C77" s="38">
        <f>SUM('13-2014 Ret Emp'!I70+'13-2014 Ret Emp'!I71*2080)</f>
        <v>73082.438457968005</v>
      </c>
      <c r="D77" s="21">
        <f>SUM('13-2014 Ret Emp'!I71*2080)</f>
        <v>32564.121297968002</v>
      </c>
    </row>
    <row r="78" spans="1:4">
      <c r="A78" s="31" t="s">
        <v>17</v>
      </c>
      <c r="B78" s="31" t="s">
        <v>317</v>
      </c>
      <c r="C78" s="38"/>
      <c r="D78" s="21"/>
    </row>
    <row r="79" spans="1:4" ht="14.25" customHeight="1">
      <c r="A79" s="31" t="s">
        <v>18</v>
      </c>
      <c r="B79" s="31" t="s">
        <v>319</v>
      </c>
      <c r="C79" s="39"/>
      <c r="D79" s="20"/>
    </row>
    <row r="80" spans="1:4">
      <c r="B80" s="31" t="s">
        <v>24</v>
      </c>
      <c r="C80" s="38">
        <f>SUM(C72:C79)</f>
        <v>73082.438457968005</v>
      </c>
      <c r="D80" s="21">
        <f>SUM(D72:D79)</f>
        <v>104530.84341184574</v>
      </c>
    </row>
    <row r="81" spans="1:4">
      <c r="C81" s="38"/>
      <c r="D81" s="21"/>
    </row>
    <row r="82" spans="1:4">
      <c r="C82" s="38"/>
      <c r="D82" s="21"/>
    </row>
    <row r="83" spans="1:4">
      <c r="A83" s="36" t="s">
        <v>322</v>
      </c>
      <c r="C83" s="38"/>
      <c r="D83" s="21"/>
    </row>
    <row r="84" spans="1:4">
      <c r="A84" s="31" t="s">
        <v>20</v>
      </c>
      <c r="B84" s="31" t="s">
        <v>321</v>
      </c>
      <c r="C84" s="38"/>
      <c r="D84" s="21"/>
    </row>
    <row r="85" spans="1:4">
      <c r="A85" s="31" t="s">
        <v>21</v>
      </c>
      <c r="B85" s="31" t="s">
        <v>322</v>
      </c>
      <c r="C85" s="38"/>
      <c r="D85" s="21"/>
    </row>
    <row r="86" spans="1:4">
      <c r="A86" s="31" t="s">
        <v>406</v>
      </c>
      <c r="B86" s="31" t="s">
        <v>407</v>
      </c>
      <c r="C86" s="38">
        <f>750*C7</f>
        <v>1500</v>
      </c>
      <c r="D86" s="21">
        <v>4000</v>
      </c>
    </row>
    <row r="87" spans="1:4">
      <c r="A87" s="31" t="s">
        <v>22</v>
      </c>
      <c r="B87" s="31" t="s">
        <v>23</v>
      </c>
      <c r="C87" s="39"/>
      <c r="D87" s="20"/>
    </row>
    <row r="88" spans="1:4">
      <c r="B88" s="31" t="s">
        <v>323</v>
      </c>
      <c r="C88" s="38">
        <f>+SUM(C84:C87)</f>
        <v>1500</v>
      </c>
      <c r="D88" s="21">
        <f>SUM(D84:D87)</f>
        <v>4000</v>
      </c>
    </row>
    <row r="89" spans="1:4">
      <c r="C89" s="38"/>
      <c r="D89" s="21"/>
    </row>
    <row r="90" spans="1:4">
      <c r="B90" s="31" t="s">
        <v>324</v>
      </c>
      <c r="C90" s="38">
        <f>SUM(C80+C88)</f>
        <v>74582.438457968005</v>
      </c>
      <c r="D90" s="21">
        <f>SUM(D80+D88)</f>
        <v>108530.84341184574</v>
      </c>
    </row>
    <row r="91" spans="1:4">
      <c r="C91" s="38"/>
      <c r="D91" s="21"/>
    </row>
    <row r="92" spans="1:4">
      <c r="A92" s="31" t="s">
        <v>325</v>
      </c>
      <c r="C92" s="38"/>
      <c r="D92" s="21"/>
    </row>
    <row r="93" spans="1:4">
      <c r="A93" s="31" t="s">
        <v>25</v>
      </c>
      <c r="B93" s="31" t="s">
        <v>33</v>
      </c>
      <c r="C93" s="38">
        <f>+C$7*139.64*2*1.05*12</f>
        <v>7037.8559999999998</v>
      </c>
      <c r="D93" s="21">
        <f>+D$7*139.64*2*1.05*12</f>
        <v>7037.8559999999998</v>
      </c>
    </row>
    <row r="94" spans="1:4">
      <c r="A94" s="31" t="s">
        <v>26</v>
      </c>
      <c r="B94" s="31" t="s">
        <v>34</v>
      </c>
      <c r="C94" s="38">
        <f>+C$7*8.74*2*1.02*12</f>
        <v>427.91039999999998</v>
      </c>
      <c r="D94" s="21">
        <f>+D$7*8.74*2*1.02*12</f>
        <v>427.91039999999998</v>
      </c>
    </row>
    <row r="95" spans="1:4">
      <c r="A95" s="31" t="s">
        <v>28</v>
      </c>
      <c r="B95" s="31" t="s">
        <v>27</v>
      </c>
      <c r="C95" s="38">
        <f>(+C$88-C$84+C$80)*0.062</f>
        <v>4624.1111843940162</v>
      </c>
      <c r="D95" s="21">
        <f>(+D$88-D$84+D$80)*0.062</f>
        <v>6728.912291534436</v>
      </c>
    </row>
    <row r="96" spans="1:4">
      <c r="A96" s="31" t="s">
        <v>30</v>
      </c>
      <c r="B96" s="31" t="s">
        <v>29</v>
      </c>
      <c r="C96" s="38">
        <f>(+C$88-C$84+C$80)*0.0145</f>
        <v>1081.445357640536</v>
      </c>
      <c r="D96" s="21">
        <f>(+D$88-D$84+D$80)*0.0145</f>
        <v>1573.6972294717632</v>
      </c>
    </row>
    <row r="97" spans="1:4">
      <c r="A97" s="31" t="s">
        <v>31</v>
      </c>
      <c r="B97" s="31" t="s">
        <v>32</v>
      </c>
      <c r="C97" s="38">
        <f>(+C$88-C$84+C$80)*0.06</f>
        <v>4474.9463074780797</v>
      </c>
      <c r="D97" s="21">
        <f>(+D$88-D$84+D$80)*0.06</f>
        <v>6511.8506047107439</v>
      </c>
    </row>
    <row r="98" spans="1:4">
      <c r="A98" s="31" t="s">
        <v>36</v>
      </c>
      <c r="B98" s="31" t="s">
        <v>35</v>
      </c>
      <c r="C98" s="38">
        <f>(+C$88-C$84+C$80)*0.0056</f>
        <v>417.6616553646208</v>
      </c>
      <c r="D98" s="21">
        <f>(+D$88-D$84+D$80)*0.0056</f>
        <v>607.77272310633612</v>
      </c>
    </row>
    <row r="99" spans="1:4">
      <c r="A99" s="31" t="s">
        <v>38</v>
      </c>
      <c r="B99" s="31" t="s">
        <v>37</v>
      </c>
      <c r="C99" s="38">
        <f>+C$7*7700*0.0201</f>
        <v>309.54000000000002</v>
      </c>
      <c r="D99" s="21">
        <f>+D$7*7700*0.0201</f>
        <v>309.54000000000002</v>
      </c>
    </row>
    <row r="100" spans="1:4">
      <c r="A100" s="31" t="s">
        <v>83</v>
      </c>
      <c r="B100" s="31" t="s">
        <v>84</v>
      </c>
      <c r="C100" s="38"/>
      <c r="D100" s="21">
        <v>1200</v>
      </c>
    </row>
    <row r="101" spans="1:4">
      <c r="A101" s="31" t="s">
        <v>39</v>
      </c>
      <c r="B101" s="31" t="s">
        <v>40</v>
      </c>
      <c r="C101" s="39">
        <f>(+C$88-C$84+C$80)*(0.0024+0.0036+0.0013)</f>
        <v>544.45180074316647</v>
      </c>
      <c r="D101" s="20">
        <f>(+D$88-D$84+D$80)*(0.0024+0.0036+0.0013)</f>
        <v>792.27515690647385</v>
      </c>
    </row>
    <row r="102" spans="1:4">
      <c r="B102" s="31" t="s">
        <v>234</v>
      </c>
      <c r="C102" s="38">
        <f>SUM(C93:C101)</f>
        <v>18917.922705620418</v>
      </c>
      <c r="D102" s="21">
        <f>SUM(D93:D101)</f>
        <v>25189.814405729754</v>
      </c>
    </row>
    <row r="103" spans="1:4">
      <c r="C103" s="38"/>
      <c r="D103" s="21"/>
    </row>
    <row r="104" spans="1:4" s="37" customFormat="1">
      <c r="A104" s="35"/>
      <c r="B104" s="35" t="s">
        <v>235</v>
      </c>
      <c r="C104" s="40">
        <f>SUM(C90+C102)</f>
        <v>93500.361163588415</v>
      </c>
      <c r="D104" s="41">
        <f>SUM(D90+D102)</f>
        <v>133720.6578175755</v>
      </c>
    </row>
    <row r="105" spans="1:4">
      <c r="C105" s="38"/>
      <c r="D105" s="21"/>
    </row>
    <row r="106" spans="1:4">
      <c r="A106" s="31" t="s">
        <v>236</v>
      </c>
      <c r="C106" s="38"/>
      <c r="D106" s="21"/>
    </row>
    <row r="107" spans="1:4">
      <c r="A107" s="31" t="s">
        <v>237</v>
      </c>
      <c r="C107" s="38"/>
      <c r="D107" s="21"/>
    </row>
    <row r="108" spans="1:4">
      <c r="A108" s="31" t="s">
        <v>51</v>
      </c>
      <c r="B108" s="31" t="s">
        <v>50</v>
      </c>
      <c r="C108" s="38"/>
      <c r="D108" s="21"/>
    </row>
    <row r="109" spans="1:4">
      <c r="A109" s="31" t="s">
        <v>41</v>
      </c>
      <c r="B109" s="31" t="s">
        <v>42</v>
      </c>
      <c r="C109" s="38"/>
      <c r="D109" s="21"/>
    </row>
    <row r="110" spans="1:4">
      <c r="A110" s="31" t="s">
        <v>43</v>
      </c>
      <c r="B110" s="31" t="s">
        <v>238</v>
      </c>
      <c r="C110" s="38">
        <f>250+2000</f>
        <v>2250</v>
      </c>
      <c r="D110" s="21">
        <v>3000</v>
      </c>
    </row>
    <row r="111" spans="1:4">
      <c r="A111" s="31" t="s">
        <v>44</v>
      </c>
      <c r="B111" s="31" t="s">
        <v>45</v>
      </c>
      <c r="C111" s="38"/>
      <c r="D111" s="21"/>
    </row>
    <row r="112" spans="1:4">
      <c r="A112" s="31" t="s">
        <v>46</v>
      </c>
      <c r="B112" s="31" t="s">
        <v>239</v>
      </c>
      <c r="C112" s="38"/>
      <c r="D112" s="21">
        <v>18000</v>
      </c>
    </row>
    <row r="113" spans="1:4">
      <c r="A113" s="31" t="s">
        <v>47</v>
      </c>
      <c r="B113" s="31" t="s">
        <v>240</v>
      </c>
      <c r="C113" s="38"/>
      <c r="D113" s="21"/>
    </row>
    <row r="114" spans="1:4">
      <c r="A114" s="31" t="s">
        <v>48</v>
      </c>
      <c r="B114" s="31" t="s">
        <v>49</v>
      </c>
      <c r="C114" s="38"/>
      <c r="D114" s="21"/>
    </row>
    <row r="115" spans="1:4">
      <c r="A115" s="31" t="s">
        <v>82</v>
      </c>
      <c r="B115" s="31" t="s">
        <v>166</v>
      </c>
      <c r="C115" s="38"/>
      <c r="D115" s="21">
        <v>1000</v>
      </c>
    </row>
    <row r="116" spans="1:4">
      <c r="A116" s="31" t="s">
        <v>104</v>
      </c>
      <c r="B116" s="31" t="s">
        <v>103</v>
      </c>
      <c r="C116" s="38"/>
      <c r="D116" s="21">
        <v>2000</v>
      </c>
    </row>
    <row r="117" spans="1:4">
      <c r="A117" s="31" t="s">
        <v>59</v>
      </c>
      <c r="B117" s="31" t="s">
        <v>318</v>
      </c>
      <c r="C117" s="38"/>
      <c r="D117" s="21"/>
    </row>
    <row r="118" spans="1:4">
      <c r="A118" s="31" t="s">
        <v>87</v>
      </c>
      <c r="B118" s="31" t="s">
        <v>88</v>
      </c>
      <c r="C118" s="38"/>
      <c r="D118" s="21">
        <v>2500</v>
      </c>
    </row>
    <row r="119" spans="1:4">
      <c r="A119" s="31" t="s">
        <v>89</v>
      </c>
      <c r="B119" s="31" t="s">
        <v>90</v>
      </c>
      <c r="C119" s="38"/>
      <c r="D119" s="21">
        <v>2000</v>
      </c>
    </row>
    <row r="120" spans="1:4">
      <c r="A120" s="31" t="s">
        <v>413</v>
      </c>
      <c r="B120" s="31" t="s">
        <v>414</v>
      </c>
      <c r="C120" s="38"/>
      <c r="D120" s="21"/>
    </row>
    <row r="121" spans="1:4">
      <c r="A121" s="31" t="s">
        <v>52</v>
      </c>
      <c r="B121" s="31" t="s">
        <v>53</v>
      </c>
      <c r="C121" s="39"/>
      <c r="D121" s="20"/>
    </row>
    <row r="122" spans="1:4">
      <c r="B122" s="31" t="s">
        <v>241</v>
      </c>
      <c r="C122" s="38">
        <f>SUM(C108:C121)</f>
        <v>2250</v>
      </c>
      <c r="D122" s="21">
        <f>SUM(D108:D121)</f>
        <v>28500</v>
      </c>
    </row>
    <row r="123" spans="1:4">
      <c r="C123" s="38"/>
      <c r="D123" s="21"/>
    </row>
    <row r="124" spans="1:4">
      <c r="A124" s="31" t="s">
        <v>242</v>
      </c>
      <c r="C124" s="38"/>
      <c r="D124" s="21"/>
    </row>
    <row r="125" spans="1:4">
      <c r="A125" s="31" t="s">
        <v>56</v>
      </c>
      <c r="B125" s="31" t="s">
        <v>245</v>
      </c>
      <c r="C125" s="38"/>
      <c r="D125" s="21"/>
    </row>
    <row r="126" spans="1:4">
      <c r="A126" s="31" t="s">
        <v>57</v>
      </c>
      <c r="B126" s="31" t="s">
        <v>246</v>
      </c>
      <c r="C126" s="38"/>
      <c r="D126" s="21"/>
    </row>
    <row r="127" spans="1:4">
      <c r="A127" s="31" t="s">
        <v>58</v>
      </c>
      <c r="B127" s="31" t="s">
        <v>247</v>
      </c>
      <c r="C127" s="38"/>
      <c r="D127" s="21"/>
    </row>
    <row r="128" spans="1:4">
      <c r="A128" s="31" t="s">
        <v>55</v>
      </c>
      <c r="B128" s="31" t="s">
        <v>244</v>
      </c>
      <c r="C128" s="38"/>
      <c r="D128" s="21"/>
    </row>
    <row r="129" spans="1:4" ht="10.5" customHeight="1">
      <c r="A129" s="31" t="s">
        <v>54</v>
      </c>
      <c r="B129" s="31" t="s">
        <v>243</v>
      </c>
      <c r="C129" s="38"/>
      <c r="D129" s="21"/>
    </row>
    <row r="130" spans="1:4">
      <c r="A130" s="31" t="s">
        <v>60</v>
      </c>
      <c r="B130" s="31" t="s">
        <v>61</v>
      </c>
      <c r="C130" s="38"/>
      <c r="D130" s="21"/>
    </row>
    <row r="131" spans="1:4">
      <c r="A131" s="31" t="s">
        <v>411</v>
      </c>
      <c r="B131" s="31" t="s">
        <v>412</v>
      </c>
      <c r="C131" s="38"/>
      <c r="D131" s="21"/>
    </row>
    <row r="132" spans="1:4">
      <c r="A132" s="31" t="s">
        <v>62</v>
      </c>
      <c r="B132" s="31" t="s">
        <v>248</v>
      </c>
      <c r="C132" s="39"/>
      <c r="D132" s="20"/>
    </row>
    <row r="133" spans="1:4">
      <c r="B133" s="31" t="s">
        <v>249</v>
      </c>
      <c r="C133" s="38">
        <f>SUM(C125:C132)</f>
        <v>0</v>
      </c>
      <c r="D133" s="21">
        <f>SUM(D125:D132)</f>
        <v>0</v>
      </c>
    </row>
    <row r="134" spans="1:4">
      <c r="C134" s="38"/>
      <c r="D134" s="21"/>
    </row>
    <row r="135" spans="1:4">
      <c r="A135" s="31" t="s">
        <v>250</v>
      </c>
      <c r="C135" s="38"/>
      <c r="D135" s="21"/>
    </row>
    <row r="136" spans="1:4">
      <c r="A136" s="31" t="s">
        <v>251</v>
      </c>
      <c r="C136" s="38"/>
      <c r="D136" s="21"/>
    </row>
    <row r="137" spans="1:4">
      <c r="A137" s="31" t="s">
        <v>63</v>
      </c>
      <c r="B137" s="31" t="s">
        <v>252</v>
      </c>
      <c r="C137" s="38"/>
      <c r="D137" s="21"/>
    </row>
    <row r="138" spans="1:4">
      <c r="A138" s="31" t="s">
        <v>64</v>
      </c>
      <c r="B138" s="31" t="s">
        <v>253</v>
      </c>
      <c r="C138" s="38"/>
      <c r="D138" s="21"/>
    </row>
    <row r="139" spans="1:4">
      <c r="A139" s="31" t="s">
        <v>417</v>
      </c>
      <c r="B139" s="31" t="s">
        <v>418</v>
      </c>
      <c r="C139" s="38"/>
      <c r="D139" s="21"/>
    </row>
    <row r="140" spans="1:4">
      <c r="A140" s="31" t="s">
        <v>65</v>
      </c>
      <c r="B140" s="31" t="s">
        <v>254</v>
      </c>
      <c r="C140" s="39"/>
      <c r="D140" s="20"/>
    </row>
    <row r="141" spans="1:4">
      <c r="B141" s="31" t="s">
        <v>255</v>
      </c>
      <c r="C141" s="38">
        <f>SUM(C137:C140)</f>
        <v>0</v>
      </c>
      <c r="D141" s="21">
        <f>SUM(D137:D140)</f>
        <v>0</v>
      </c>
    </row>
    <row r="142" spans="1:4">
      <c r="C142" s="38"/>
      <c r="D142" s="21"/>
    </row>
    <row r="143" spans="1:4">
      <c r="A143" s="31" t="s">
        <v>256</v>
      </c>
      <c r="C143" s="38"/>
      <c r="D143" s="21"/>
    </row>
    <row r="144" spans="1:4">
      <c r="A144" s="31" t="s">
        <v>66</v>
      </c>
      <c r="B144" s="31" t="s">
        <v>257</v>
      </c>
      <c r="C144" s="38"/>
      <c r="D144" s="21"/>
    </row>
    <row r="145" spans="1:4">
      <c r="A145" s="31" t="s">
        <v>67</v>
      </c>
      <c r="B145" s="31" t="s">
        <v>258</v>
      </c>
      <c r="C145" s="38"/>
      <c r="D145" s="21"/>
    </row>
    <row r="146" spans="1:4">
      <c r="A146" s="31" t="s">
        <v>68</v>
      </c>
      <c r="B146" s="31" t="s">
        <v>259</v>
      </c>
      <c r="C146" s="38"/>
      <c r="D146" s="21">
        <f>55*12*2</f>
        <v>1320</v>
      </c>
    </row>
    <row r="147" spans="1:4">
      <c r="A147" s="31" t="s">
        <v>69</v>
      </c>
      <c r="B147" s="31" t="s">
        <v>260</v>
      </c>
      <c r="C147" s="38"/>
      <c r="D147" s="21"/>
    </row>
    <row r="148" spans="1:4" ht="12" customHeight="1">
      <c r="A148" s="31" t="s">
        <v>70</v>
      </c>
      <c r="B148" s="31" t="s">
        <v>261</v>
      </c>
      <c r="C148" s="38">
        <f>2*SUM(SUM!B4:B7)</f>
        <v>2510</v>
      </c>
      <c r="D148" s="21">
        <v>250</v>
      </c>
    </row>
    <row r="149" spans="1:4">
      <c r="A149" s="31" t="s">
        <v>425</v>
      </c>
      <c r="B149" s="31" t="s">
        <v>427</v>
      </c>
      <c r="C149" s="48"/>
      <c r="D149" s="20">
        <v>665</v>
      </c>
    </row>
    <row r="150" spans="1:4">
      <c r="B150" s="31" t="s">
        <v>262</v>
      </c>
      <c r="C150" s="38">
        <f>SUM(C144:C149)</f>
        <v>2510</v>
      </c>
      <c r="D150" s="21">
        <f>SUM(D144:D149)</f>
        <v>2235</v>
      </c>
    </row>
    <row r="151" spans="1:4">
      <c r="C151" s="38"/>
      <c r="D151" s="21"/>
    </row>
    <row r="152" spans="1:4">
      <c r="A152" s="31" t="s">
        <v>263</v>
      </c>
      <c r="C152" s="38"/>
      <c r="D152" s="21"/>
    </row>
    <row r="153" spans="1:4">
      <c r="A153" s="31" t="s">
        <v>264</v>
      </c>
      <c r="C153" s="38"/>
      <c r="D153" s="21"/>
    </row>
    <row r="154" spans="1:4">
      <c r="A154" s="31" t="s">
        <v>71</v>
      </c>
      <c r="B154" s="31" t="s">
        <v>72</v>
      </c>
      <c r="C154" s="39">
        <v>2250</v>
      </c>
      <c r="D154" s="20">
        <v>2500</v>
      </c>
    </row>
    <row r="155" spans="1:4">
      <c r="B155" s="31" t="s">
        <v>265</v>
      </c>
      <c r="C155" s="38">
        <f>SUM(C154)</f>
        <v>2250</v>
      </c>
      <c r="D155" s="21">
        <f>SUM(D154)</f>
        <v>2500</v>
      </c>
    </row>
    <row r="156" spans="1:4">
      <c r="C156" s="38"/>
      <c r="D156" s="21"/>
    </row>
    <row r="157" spans="1:4">
      <c r="A157" s="31" t="s">
        <v>266</v>
      </c>
      <c r="C157" s="38"/>
      <c r="D157" s="21"/>
    </row>
    <row r="158" spans="1:4">
      <c r="A158" s="31" t="s">
        <v>73</v>
      </c>
      <c r="B158" s="31" t="s">
        <v>74</v>
      </c>
      <c r="C158" s="38">
        <v>750</v>
      </c>
      <c r="D158" s="21">
        <v>1000</v>
      </c>
    </row>
    <row r="159" spans="1:4">
      <c r="A159" s="31" t="s">
        <v>75</v>
      </c>
      <c r="B159" s="31" t="s">
        <v>154</v>
      </c>
      <c r="C159" s="220">
        <v>10000</v>
      </c>
      <c r="D159" s="21"/>
    </row>
    <row r="160" spans="1:4">
      <c r="A160" s="31" t="s">
        <v>442</v>
      </c>
      <c r="B160" s="31" t="s">
        <v>97</v>
      </c>
      <c r="C160" s="38"/>
      <c r="D160" s="21"/>
    </row>
    <row r="161" spans="1:4">
      <c r="A161" s="31" t="s">
        <v>443</v>
      </c>
      <c r="B161" s="31" t="s">
        <v>421</v>
      </c>
      <c r="C161" s="38"/>
      <c r="D161" s="21"/>
    </row>
    <row r="162" spans="1:4">
      <c r="A162" s="31" t="s">
        <v>444</v>
      </c>
      <c r="B162" s="31" t="s">
        <v>423</v>
      </c>
      <c r="C162" s="38">
        <v>3000</v>
      </c>
      <c r="D162" s="21">
        <v>1000</v>
      </c>
    </row>
    <row r="163" spans="1:4">
      <c r="A163" s="31" t="s">
        <v>445</v>
      </c>
      <c r="B163" s="31" t="s">
        <v>416</v>
      </c>
      <c r="C163" s="38"/>
      <c r="D163" s="21"/>
    </row>
    <row r="164" spans="1:4">
      <c r="A164" s="31" t="s">
        <v>76</v>
      </c>
      <c r="B164" s="31" t="s">
        <v>155</v>
      </c>
      <c r="C164" s="38"/>
      <c r="D164" s="21"/>
    </row>
    <row r="165" spans="1:4">
      <c r="A165" s="31" t="s">
        <v>79</v>
      </c>
      <c r="B165" s="31" t="s">
        <v>156</v>
      </c>
      <c r="C165" s="38"/>
      <c r="D165" s="21"/>
    </row>
    <row r="166" spans="1:4">
      <c r="A166" s="31" t="s">
        <v>78</v>
      </c>
      <c r="B166" s="31" t="s">
        <v>157</v>
      </c>
      <c r="C166" s="38"/>
      <c r="D166" s="21"/>
    </row>
    <row r="167" spans="1:4">
      <c r="A167" s="31" t="s">
        <v>77</v>
      </c>
      <c r="B167" s="31" t="s">
        <v>158</v>
      </c>
      <c r="C167" s="38"/>
      <c r="D167" s="21"/>
    </row>
    <row r="168" spans="1:4">
      <c r="A168" s="31" t="s">
        <v>80</v>
      </c>
      <c r="B168" s="31" t="s">
        <v>159</v>
      </c>
      <c r="C168" s="38"/>
      <c r="D168" s="21"/>
    </row>
    <row r="169" spans="1:4">
      <c r="A169" s="31" t="s">
        <v>81</v>
      </c>
      <c r="B169" s="31" t="s">
        <v>160</v>
      </c>
      <c r="C169" s="38"/>
      <c r="D169" s="21"/>
    </row>
    <row r="170" spans="1:4">
      <c r="A170" s="31" t="s">
        <v>161</v>
      </c>
      <c r="B170" s="31" t="s">
        <v>162</v>
      </c>
      <c r="C170" s="39"/>
      <c r="D170" s="20"/>
    </row>
    <row r="171" spans="1:4">
      <c r="B171" s="31" t="s">
        <v>163</v>
      </c>
      <c r="C171" s="38">
        <f>SUM(C158:C170)</f>
        <v>13750</v>
      </c>
      <c r="D171" s="21">
        <f>SUM(D158:D170)</f>
        <v>2000</v>
      </c>
    </row>
    <row r="172" spans="1:4">
      <c r="C172" s="38"/>
      <c r="D172" s="21"/>
    </row>
    <row r="173" spans="1:4">
      <c r="A173" s="31" t="s">
        <v>164</v>
      </c>
      <c r="C173" s="38"/>
      <c r="D173" s="21"/>
    </row>
    <row r="174" spans="1:4">
      <c r="A174" s="31" t="s">
        <v>165</v>
      </c>
      <c r="C174" s="38"/>
      <c r="D174" s="21"/>
    </row>
    <row r="175" spans="1:4">
      <c r="A175" s="31" t="s">
        <v>86</v>
      </c>
      <c r="B175" s="31" t="s">
        <v>85</v>
      </c>
      <c r="C175" s="38"/>
      <c r="D175" s="21">
        <v>500</v>
      </c>
    </row>
    <row r="176" spans="1:4">
      <c r="A176" s="31" t="s">
        <v>91</v>
      </c>
      <c r="B176" s="31" t="s">
        <v>92</v>
      </c>
      <c r="C176" s="38"/>
      <c r="D176" s="21"/>
    </row>
    <row r="177" spans="1:4">
      <c r="A177" s="31" t="s">
        <v>93</v>
      </c>
      <c r="B177" s="31" t="s">
        <v>94</v>
      </c>
      <c r="C177" s="38"/>
      <c r="D177" s="21"/>
    </row>
    <row r="178" spans="1:4">
      <c r="A178" s="31" t="s">
        <v>95</v>
      </c>
      <c r="B178" s="31" t="s">
        <v>405</v>
      </c>
      <c r="C178" s="38"/>
      <c r="D178" s="21"/>
    </row>
    <row r="179" spans="1:4">
      <c r="A179" s="31" t="s">
        <v>96</v>
      </c>
      <c r="B179" s="31" t="s">
        <v>404</v>
      </c>
      <c r="C179" s="38"/>
      <c r="D179" s="21"/>
    </row>
    <row r="180" spans="1:4">
      <c r="A180" s="31" t="s">
        <v>98</v>
      </c>
      <c r="B180" s="31" t="s">
        <v>99</v>
      </c>
      <c r="C180" s="38"/>
      <c r="D180" s="21"/>
    </row>
    <row r="181" spans="1:4">
      <c r="A181" s="31" t="s">
        <v>100</v>
      </c>
      <c r="B181" s="31" t="s">
        <v>284</v>
      </c>
      <c r="C181" s="38"/>
      <c r="D181" s="21"/>
    </row>
    <row r="182" spans="1:4">
      <c r="A182" s="31" t="s">
        <v>101</v>
      </c>
      <c r="B182" s="31" t="s">
        <v>102</v>
      </c>
      <c r="C182" s="38">
        <v>1000</v>
      </c>
      <c r="D182" s="21">
        <v>1000</v>
      </c>
    </row>
    <row r="183" spans="1:4">
      <c r="A183" s="31" t="s">
        <v>105</v>
      </c>
      <c r="B183" s="31" t="s">
        <v>167</v>
      </c>
      <c r="C183" s="38"/>
      <c r="D183" s="21"/>
    </row>
    <row r="184" spans="1:4">
      <c r="A184" s="31" t="s">
        <v>106</v>
      </c>
      <c r="B184" s="31" t="s">
        <v>107</v>
      </c>
      <c r="C184" s="38"/>
      <c r="D184" s="21"/>
    </row>
    <row r="185" spans="1:4">
      <c r="A185" s="31" t="s">
        <v>428</v>
      </c>
      <c r="B185" s="31" t="s">
        <v>429</v>
      </c>
      <c r="C185" s="39"/>
      <c r="D185" s="20">
        <v>750</v>
      </c>
    </row>
    <row r="186" spans="1:4">
      <c r="B186" s="31" t="s">
        <v>168</v>
      </c>
      <c r="C186" s="38">
        <f>SUM(C175:C185)</f>
        <v>1000</v>
      </c>
      <c r="D186" s="21">
        <f>SUM(D175:D185)</f>
        <v>2250</v>
      </c>
    </row>
    <row r="187" spans="1:4">
      <c r="C187" s="38"/>
      <c r="D187" s="21"/>
    </row>
    <row r="188" spans="1:4" s="37" customFormat="1">
      <c r="A188" s="35"/>
      <c r="B188" s="35" t="s">
        <v>169</v>
      </c>
      <c r="C188" s="38"/>
      <c r="D188" s="21"/>
    </row>
    <row r="189" spans="1:4">
      <c r="C189" s="40">
        <f>+C122+C133+C141+C150+C155+C171+C186</f>
        <v>21760</v>
      </c>
      <c r="D189" s="41">
        <f>+D122+D133+D141+D150+D155+D171+D186</f>
        <v>37485</v>
      </c>
    </row>
    <row r="190" spans="1:4">
      <c r="B190" s="35" t="s">
        <v>435</v>
      </c>
      <c r="C190" s="38"/>
      <c r="D190" s="21"/>
    </row>
    <row r="191" spans="1:4" s="37" customFormat="1">
      <c r="A191" s="31"/>
      <c r="B191" s="31"/>
      <c r="C191" s="40">
        <f>SUM(C104+C189)</f>
        <v>115260.36116358842</v>
      </c>
      <c r="D191" s="40">
        <f>SUM(D104+D189)</f>
        <v>171205.6578175755</v>
      </c>
    </row>
    <row r="192" spans="1:4">
      <c r="A192" s="35"/>
      <c r="B192" s="35" t="s">
        <v>170</v>
      </c>
      <c r="C192" s="38"/>
      <c r="D192" s="21"/>
    </row>
    <row r="193" spans="1:4">
      <c r="C193" s="40">
        <f>SUM(C68-C104-C189)</f>
        <v>-115260.36116358842</v>
      </c>
      <c r="D193" s="41">
        <f>+D68-D104-D189</f>
        <v>-171205.6578175755</v>
      </c>
    </row>
    <row r="194" spans="1:4">
      <c r="A194" s="78"/>
    </row>
    <row r="195" spans="1:4">
      <c r="A195" s="78"/>
    </row>
    <row r="196" spans="1:4">
      <c r="B196" s="26"/>
    </row>
  </sheetData>
  <pageMargins left="0.75" right="0.75" top="1.41" bottom="0.43" header="0.17" footer="0.17"/>
  <pageSetup orientation="portrait"/>
  <headerFooter alignWithMargins="0">
    <oddHeader>&amp;C&amp;"MS Sans Serif,Bold"&amp;18ISL
BUDGET '13-2014
HUMAN RESOURCES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/>
  <dimension ref="A2:I196"/>
  <sheetViews>
    <sheetView workbookViewId="0">
      <pane xSplit="2" ySplit="11" topLeftCell="C165" activePane="bottomRight" state="frozen"/>
      <selection pane="topRight" activeCell="C1" sqref="C1"/>
      <selection pane="bottomLeft" activeCell="A12" sqref="A12"/>
      <selection pane="bottomRight" activeCell="N193" sqref="N193"/>
    </sheetView>
  </sheetViews>
  <sheetFormatPr baseColWidth="10" defaultColWidth="11.42578125" defaultRowHeight="10" x14ac:dyDescent="0"/>
  <cols>
    <col min="1" max="1" width="15" style="31" customWidth="1"/>
    <col min="2" max="2" width="26.85546875" style="31" customWidth="1"/>
    <col min="3" max="3" width="10.28515625" style="1" customWidth="1"/>
    <col min="4" max="5" width="11.42578125" style="1"/>
    <col min="6" max="6" width="10.85546875" style="1" customWidth="1"/>
    <col min="7" max="7" width="10.28515625" style="1" bestFit="1" customWidth="1"/>
    <col min="8" max="8" width="10.140625" style="37" customWidth="1"/>
    <col min="9" max="16384" width="11.42578125" style="1"/>
  </cols>
  <sheetData>
    <row r="2" spans="1:8">
      <c r="B2" s="30" t="s">
        <v>614</v>
      </c>
    </row>
    <row r="3" spans="1:8">
      <c r="B3" s="174" t="s">
        <v>584</v>
      </c>
    </row>
    <row r="4" spans="1:8">
      <c r="A4" s="31" t="s">
        <v>433</v>
      </c>
      <c r="B4" s="32">
        <v>490</v>
      </c>
    </row>
    <row r="5" spans="1:8">
      <c r="A5" s="31" t="s">
        <v>586</v>
      </c>
      <c r="B5" s="32">
        <v>150</v>
      </c>
    </row>
    <row r="6" spans="1:8">
      <c r="A6" s="31" t="s">
        <v>434</v>
      </c>
      <c r="B6" s="32">
        <v>215</v>
      </c>
      <c r="D6" s="1">
        <v>1</v>
      </c>
      <c r="E6" s="1">
        <v>0.5</v>
      </c>
      <c r="F6" s="1">
        <v>1</v>
      </c>
    </row>
    <row r="7" spans="1:8" s="8" customFormat="1">
      <c r="A7" s="28" t="s">
        <v>587</v>
      </c>
      <c r="B7" s="32">
        <v>400</v>
      </c>
      <c r="C7" s="166">
        <v>1</v>
      </c>
      <c r="D7" s="166">
        <v>0</v>
      </c>
      <c r="E7" s="166">
        <v>0</v>
      </c>
      <c r="F7" s="166">
        <v>0</v>
      </c>
      <c r="G7" s="155"/>
      <c r="H7" s="161">
        <f>SUM(C7:G7)</f>
        <v>1</v>
      </c>
    </row>
    <row r="8" spans="1:8">
      <c r="B8" s="175">
        <f>SUM(B4:B7)</f>
        <v>1255</v>
      </c>
      <c r="C8" s="56" t="s">
        <v>455</v>
      </c>
      <c r="D8" s="56" t="s">
        <v>467</v>
      </c>
      <c r="E8" s="56" t="s">
        <v>436</v>
      </c>
      <c r="F8" s="56" t="s">
        <v>603</v>
      </c>
      <c r="H8" s="160" t="s">
        <v>430</v>
      </c>
    </row>
    <row r="9" spans="1:8">
      <c r="C9" s="56" t="s">
        <v>189</v>
      </c>
      <c r="D9" s="56" t="s">
        <v>189</v>
      </c>
      <c r="E9" s="56" t="s">
        <v>189</v>
      </c>
      <c r="F9" s="56" t="s">
        <v>189</v>
      </c>
      <c r="H9" s="160" t="s">
        <v>367</v>
      </c>
    </row>
    <row r="10" spans="1:8" s="7" customFormat="1" ht="11" thickBot="1">
      <c r="A10" s="33"/>
      <c r="B10" s="33" t="s">
        <v>174</v>
      </c>
      <c r="C10" s="254">
        <v>2840</v>
      </c>
      <c r="D10" s="254">
        <v>2840</v>
      </c>
      <c r="E10" s="254">
        <v>2840</v>
      </c>
      <c r="F10" s="254">
        <v>2840</v>
      </c>
      <c r="G10" s="255"/>
      <c r="H10" s="256"/>
    </row>
    <row r="11" spans="1:8">
      <c r="A11" s="31" t="s">
        <v>268</v>
      </c>
    </row>
    <row r="12" spans="1:8">
      <c r="A12" s="31" t="s">
        <v>269</v>
      </c>
    </row>
    <row r="13" spans="1:8">
      <c r="A13" s="31" t="s">
        <v>171</v>
      </c>
      <c r="B13" s="31" t="s">
        <v>270</v>
      </c>
      <c r="C13" s="38"/>
      <c r="D13" s="38"/>
      <c r="E13" s="38"/>
      <c r="F13" s="38"/>
      <c r="G13" s="38"/>
      <c r="H13" s="40">
        <f t="shared" ref="H13:H37" si="0">+SUM(C13:G13)</f>
        <v>0</v>
      </c>
    </row>
    <row r="14" spans="1:8">
      <c r="A14" s="31" t="s">
        <v>172</v>
      </c>
      <c r="B14" s="31" t="s">
        <v>271</v>
      </c>
      <c r="C14" s="38"/>
      <c r="D14" s="38"/>
      <c r="E14" s="38"/>
      <c r="F14" s="38"/>
      <c r="G14" s="38"/>
      <c r="H14" s="40">
        <f t="shared" si="0"/>
        <v>0</v>
      </c>
    </row>
    <row r="15" spans="1:8">
      <c r="A15" s="31" t="s">
        <v>173</v>
      </c>
      <c r="B15" s="31" t="s">
        <v>272</v>
      </c>
      <c r="C15" s="38"/>
      <c r="D15" s="38"/>
      <c r="E15" s="38"/>
      <c r="F15" s="38"/>
      <c r="G15" s="38"/>
      <c r="H15" s="40">
        <f t="shared" si="0"/>
        <v>0</v>
      </c>
    </row>
    <row r="16" spans="1:8">
      <c r="A16" s="31" t="s">
        <v>193</v>
      </c>
      <c r="B16" s="31" t="s">
        <v>273</v>
      </c>
      <c r="C16" s="38"/>
      <c r="D16" s="38"/>
      <c r="E16" s="38"/>
      <c r="F16" s="38"/>
      <c r="G16" s="38"/>
      <c r="H16" s="40">
        <f t="shared" si="0"/>
        <v>0</v>
      </c>
    </row>
    <row r="17" spans="1:8">
      <c r="A17" s="31" t="s">
        <v>194</v>
      </c>
      <c r="B17" s="31" t="s">
        <v>274</v>
      </c>
      <c r="C17" s="38"/>
      <c r="D17" s="38"/>
      <c r="E17" s="38"/>
      <c r="F17" s="38"/>
      <c r="G17" s="38"/>
      <c r="H17" s="40">
        <f t="shared" si="0"/>
        <v>0</v>
      </c>
    </row>
    <row r="18" spans="1:8">
      <c r="A18" s="31" t="s">
        <v>195</v>
      </c>
      <c r="B18" s="31" t="s">
        <v>275</v>
      </c>
      <c r="C18" s="38"/>
      <c r="D18" s="38"/>
      <c r="E18" s="38"/>
      <c r="F18" s="38"/>
      <c r="G18" s="38"/>
      <c r="H18" s="40">
        <f t="shared" si="0"/>
        <v>0</v>
      </c>
    </row>
    <row r="19" spans="1:8">
      <c r="A19" s="31" t="s">
        <v>196</v>
      </c>
      <c r="B19" s="31" t="s">
        <v>276</v>
      </c>
      <c r="C19" s="38"/>
      <c r="D19" s="38"/>
      <c r="E19" s="38"/>
      <c r="F19" s="38"/>
      <c r="G19" s="38"/>
      <c r="H19" s="40">
        <f t="shared" si="0"/>
        <v>0</v>
      </c>
    </row>
    <row r="20" spans="1:8">
      <c r="A20" s="31" t="s">
        <v>197</v>
      </c>
      <c r="B20" s="31" t="s">
        <v>277</v>
      </c>
      <c r="C20" s="38"/>
      <c r="D20" s="38"/>
      <c r="E20" s="38"/>
      <c r="F20" s="38"/>
      <c r="G20" s="38"/>
      <c r="H20" s="40">
        <f t="shared" si="0"/>
        <v>0</v>
      </c>
    </row>
    <row r="21" spans="1:8">
      <c r="A21" s="31" t="s">
        <v>198</v>
      </c>
      <c r="B21" s="31" t="s">
        <v>278</v>
      </c>
      <c r="C21" s="38"/>
      <c r="D21" s="38"/>
      <c r="E21" s="38"/>
      <c r="F21" s="38"/>
      <c r="G21" s="38"/>
      <c r="H21" s="40">
        <f t="shared" si="0"/>
        <v>0</v>
      </c>
    </row>
    <row r="22" spans="1:8">
      <c r="A22" s="31" t="s">
        <v>199</v>
      </c>
      <c r="B22" s="31" t="s">
        <v>279</v>
      </c>
      <c r="C22" s="38"/>
      <c r="D22" s="38"/>
      <c r="E22" s="38"/>
      <c r="F22" s="38"/>
      <c r="G22" s="38"/>
      <c r="H22" s="40">
        <f t="shared" si="0"/>
        <v>0</v>
      </c>
    </row>
    <row r="23" spans="1:8">
      <c r="A23" s="31" t="s">
        <v>200</v>
      </c>
      <c r="B23" s="31" t="s">
        <v>280</v>
      </c>
      <c r="C23" s="38"/>
      <c r="D23" s="38"/>
      <c r="E23" s="38"/>
      <c r="F23" s="38"/>
      <c r="G23" s="38"/>
      <c r="H23" s="40">
        <f t="shared" si="0"/>
        <v>0</v>
      </c>
    </row>
    <row r="24" spans="1:8">
      <c r="A24" s="31" t="s">
        <v>201</v>
      </c>
      <c r="B24" s="31" t="s">
        <v>281</v>
      </c>
      <c r="C24" s="38"/>
      <c r="D24" s="38"/>
      <c r="E24" s="38"/>
      <c r="F24" s="38"/>
      <c r="G24" s="38"/>
      <c r="H24" s="40">
        <f t="shared" si="0"/>
        <v>0</v>
      </c>
    </row>
    <row r="25" spans="1:8">
      <c r="A25" s="31" t="s">
        <v>202</v>
      </c>
      <c r="B25" s="31" t="s">
        <v>282</v>
      </c>
      <c r="C25" s="38"/>
      <c r="D25" s="38"/>
      <c r="E25" s="38"/>
      <c r="F25" s="38"/>
      <c r="G25" s="38"/>
      <c r="H25" s="40">
        <f t="shared" si="0"/>
        <v>0</v>
      </c>
    </row>
    <row r="26" spans="1:8">
      <c r="A26" s="31" t="s">
        <v>203</v>
      </c>
      <c r="B26" s="31" t="s">
        <v>283</v>
      </c>
      <c r="C26" s="38"/>
      <c r="D26" s="38"/>
      <c r="E26" s="38"/>
      <c r="F26" s="38"/>
      <c r="G26" s="38"/>
      <c r="H26" s="40">
        <f t="shared" si="0"/>
        <v>0</v>
      </c>
    </row>
    <row r="27" spans="1:8">
      <c r="A27" s="31" t="s">
        <v>204</v>
      </c>
      <c r="B27" s="31" t="s">
        <v>284</v>
      </c>
      <c r="C27" s="38"/>
      <c r="D27" s="38"/>
      <c r="E27" s="38"/>
      <c r="F27" s="38"/>
      <c r="G27" s="38"/>
      <c r="H27" s="40">
        <f t="shared" si="0"/>
        <v>0</v>
      </c>
    </row>
    <row r="28" spans="1:8">
      <c r="A28" s="31" t="s">
        <v>205</v>
      </c>
      <c r="B28" s="31" t="s">
        <v>285</v>
      </c>
      <c r="C28" s="38"/>
      <c r="D28" s="38"/>
      <c r="E28" s="38"/>
      <c r="F28" s="38"/>
      <c r="G28" s="38"/>
      <c r="H28" s="40">
        <f t="shared" si="0"/>
        <v>0</v>
      </c>
    </row>
    <row r="29" spans="1:8">
      <c r="A29" s="31" t="s">
        <v>206</v>
      </c>
      <c r="B29" s="31" t="s">
        <v>286</v>
      </c>
      <c r="C29" s="38"/>
      <c r="D29" s="38"/>
      <c r="E29" s="38"/>
      <c r="F29" s="38"/>
      <c r="G29" s="38"/>
      <c r="H29" s="40">
        <f t="shared" si="0"/>
        <v>0</v>
      </c>
    </row>
    <row r="30" spans="1:8">
      <c r="A30" s="31" t="s">
        <v>208</v>
      </c>
      <c r="B30" s="31" t="s">
        <v>287</v>
      </c>
      <c r="C30" s="38"/>
      <c r="D30" s="38"/>
      <c r="E30" s="38"/>
      <c r="F30" s="38"/>
      <c r="G30" s="38"/>
      <c r="H30" s="40">
        <f t="shared" si="0"/>
        <v>0</v>
      </c>
    </row>
    <row r="31" spans="1:8">
      <c r="A31" s="31" t="s">
        <v>207</v>
      </c>
      <c r="B31" s="31" t="s">
        <v>288</v>
      </c>
      <c r="C31" s="38"/>
      <c r="D31" s="38"/>
      <c r="E31" s="38"/>
      <c r="F31" s="38"/>
      <c r="G31" s="38"/>
      <c r="H31" s="40">
        <f t="shared" si="0"/>
        <v>0</v>
      </c>
    </row>
    <row r="32" spans="1:8">
      <c r="A32" s="31" t="s">
        <v>209</v>
      </c>
      <c r="B32" s="31" t="s">
        <v>210</v>
      </c>
      <c r="C32" s="38"/>
      <c r="D32" s="38"/>
      <c r="E32" s="38"/>
      <c r="F32" s="38"/>
      <c r="G32" s="38"/>
      <c r="H32" s="40">
        <f t="shared" si="0"/>
        <v>0</v>
      </c>
    </row>
    <row r="33" spans="1:8">
      <c r="A33" s="31" t="s">
        <v>213</v>
      </c>
      <c r="B33" s="31" t="s">
        <v>214</v>
      </c>
      <c r="C33" s="38"/>
      <c r="D33" s="38"/>
      <c r="E33" s="38"/>
      <c r="F33" s="38"/>
      <c r="G33" s="38"/>
      <c r="H33" s="40">
        <f t="shared" si="0"/>
        <v>0</v>
      </c>
    </row>
    <row r="34" spans="1:8">
      <c r="A34" s="31" t="s">
        <v>212</v>
      </c>
      <c r="B34" s="31" t="s">
        <v>289</v>
      </c>
      <c r="C34" s="38"/>
      <c r="D34" s="38"/>
      <c r="E34" s="38"/>
      <c r="F34" s="38"/>
      <c r="G34" s="38"/>
      <c r="H34" s="40">
        <f t="shared" si="0"/>
        <v>0</v>
      </c>
    </row>
    <row r="35" spans="1:8">
      <c r="A35" s="31" t="s">
        <v>211</v>
      </c>
      <c r="B35" s="31" t="s">
        <v>290</v>
      </c>
      <c r="C35" s="38"/>
      <c r="D35" s="38"/>
      <c r="E35" s="38"/>
      <c r="F35" s="38"/>
      <c r="G35" s="38"/>
      <c r="H35" s="40">
        <f t="shared" si="0"/>
        <v>0</v>
      </c>
    </row>
    <row r="36" spans="1:8">
      <c r="A36" s="31" t="s">
        <v>215</v>
      </c>
      <c r="B36" s="31" t="s">
        <v>291</v>
      </c>
      <c r="C36" s="38"/>
      <c r="D36" s="38"/>
      <c r="E36" s="38"/>
      <c r="F36" s="38"/>
      <c r="G36" s="38"/>
      <c r="H36" s="40">
        <f t="shared" si="0"/>
        <v>0</v>
      </c>
    </row>
    <row r="37" spans="1:8">
      <c r="A37" s="31" t="s">
        <v>216</v>
      </c>
      <c r="B37" s="31" t="s">
        <v>292</v>
      </c>
      <c r="C37" s="39"/>
      <c r="D37" s="39"/>
      <c r="E37" s="39"/>
      <c r="F37" s="39"/>
      <c r="G37" s="38"/>
      <c r="H37" s="87">
        <f t="shared" si="0"/>
        <v>0</v>
      </c>
    </row>
    <row r="38" spans="1:8">
      <c r="B38" s="31" t="s">
        <v>293</v>
      </c>
      <c r="C38" s="38">
        <f>SUM(C13:C37)</f>
        <v>0</v>
      </c>
      <c r="D38" s="38">
        <f t="shared" ref="D38:F38" si="1">SUM(D13:D37)</f>
        <v>0</v>
      </c>
      <c r="E38" s="38">
        <f t="shared" si="1"/>
        <v>0</v>
      </c>
      <c r="F38" s="38">
        <f t="shared" si="1"/>
        <v>0</v>
      </c>
      <c r="G38" s="38"/>
      <c r="H38" s="40">
        <f>SUM(H13:H37)</f>
        <v>0</v>
      </c>
    </row>
    <row r="39" spans="1:8">
      <c r="C39" s="38"/>
      <c r="D39" s="38"/>
      <c r="E39" s="38"/>
      <c r="F39" s="38"/>
      <c r="G39" s="38"/>
      <c r="H39" s="40"/>
    </row>
    <row r="40" spans="1:8">
      <c r="A40" s="31" t="s">
        <v>294</v>
      </c>
      <c r="C40" s="38"/>
      <c r="D40" s="38"/>
      <c r="E40" s="38"/>
      <c r="F40" s="38"/>
      <c r="G40" s="38"/>
      <c r="H40" s="40"/>
    </row>
    <row r="41" spans="1:8">
      <c r="A41" s="31" t="s">
        <v>217</v>
      </c>
      <c r="B41" s="31" t="s">
        <v>295</v>
      </c>
      <c r="C41" s="38"/>
      <c r="D41" s="38"/>
      <c r="E41" s="38"/>
      <c r="F41" s="38"/>
      <c r="G41" s="38"/>
      <c r="H41" s="40">
        <f t="shared" ref="H41:H48" si="2">+SUM(C41:G41)</f>
        <v>0</v>
      </c>
    </row>
    <row r="42" spans="1:8">
      <c r="A42" s="31" t="s">
        <v>218</v>
      </c>
      <c r="B42" s="31" t="s">
        <v>219</v>
      </c>
      <c r="C42" s="38"/>
      <c r="D42" s="38"/>
      <c r="E42" s="38"/>
      <c r="F42" s="38"/>
      <c r="G42" s="38"/>
      <c r="H42" s="40">
        <f t="shared" si="2"/>
        <v>0</v>
      </c>
    </row>
    <row r="43" spans="1:8">
      <c r="A43" s="31" t="s">
        <v>220</v>
      </c>
      <c r="B43" s="31" t="s">
        <v>221</v>
      </c>
      <c r="C43" s="38"/>
      <c r="D43" s="38"/>
      <c r="E43" s="38"/>
      <c r="F43" s="38"/>
      <c r="G43" s="38"/>
      <c r="H43" s="40">
        <f t="shared" si="2"/>
        <v>0</v>
      </c>
    </row>
    <row r="44" spans="1:8">
      <c r="A44" s="31" t="s">
        <v>222</v>
      </c>
      <c r="B44" s="31" t="s">
        <v>296</v>
      </c>
      <c r="C44" s="38"/>
      <c r="D44" s="38"/>
      <c r="E44" s="38"/>
      <c r="F44" s="38"/>
      <c r="G44" s="38"/>
      <c r="H44" s="40">
        <f t="shared" si="2"/>
        <v>0</v>
      </c>
    </row>
    <row r="45" spans="1:8">
      <c r="A45" s="31" t="s">
        <v>223</v>
      </c>
      <c r="B45" s="31" t="s">
        <v>224</v>
      </c>
      <c r="C45" s="38"/>
      <c r="D45" s="38"/>
      <c r="E45" s="38"/>
      <c r="F45" s="38"/>
      <c r="G45" s="38"/>
      <c r="H45" s="40">
        <f t="shared" si="2"/>
        <v>0</v>
      </c>
    </row>
    <row r="46" spans="1:8">
      <c r="A46" s="31" t="s">
        <v>225</v>
      </c>
      <c r="B46" s="31" t="s">
        <v>226</v>
      </c>
      <c r="C46" s="38"/>
      <c r="D46" s="38"/>
      <c r="E46" s="38"/>
      <c r="F46" s="38"/>
      <c r="G46" s="38"/>
      <c r="H46" s="40">
        <f t="shared" si="2"/>
        <v>0</v>
      </c>
    </row>
    <row r="47" spans="1:8">
      <c r="A47" s="31" t="s">
        <v>227</v>
      </c>
      <c r="B47" s="31" t="s">
        <v>297</v>
      </c>
      <c r="C47" s="38"/>
      <c r="D47" s="38"/>
      <c r="E47" s="38"/>
      <c r="F47" s="38"/>
      <c r="G47" s="38"/>
      <c r="H47" s="40">
        <f t="shared" si="2"/>
        <v>0</v>
      </c>
    </row>
    <row r="48" spans="1:8">
      <c r="A48" s="31" t="s">
        <v>228</v>
      </c>
      <c r="B48" s="31" t="s">
        <v>298</v>
      </c>
      <c r="C48" s="39"/>
      <c r="D48" s="39"/>
      <c r="E48" s="39"/>
      <c r="F48" s="39"/>
      <c r="G48" s="38"/>
      <c r="H48" s="87">
        <f t="shared" si="2"/>
        <v>0</v>
      </c>
    </row>
    <row r="49" spans="1:8">
      <c r="B49" s="31" t="s">
        <v>299</v>
      </c>
      <c r="C49" s="38">
        <f>SUM(C41:C48)</f>
        <v>0</v>
      </c>
      <c r="D49" s="38">
        <f t="shared" ref="D49:H49" si="3">SUM(D41:D48)</f>
        <v>0</v>
      </c>
      <c r="E49" s="38">
        <f t="shared" si="3"/>
        <v>0</v>
      </c>
      <c r="F49" s="38">
        <f t="shared" si="3"/>
        <v>0</v>
      </c>
      <c r="G49" s="38"/>
      <c r="H49" s="40">
        <f t="shared" si="3"/>
        <v>0</v>
      </c>
    </row>
    <row r="50" spans="1:8">
      <c r="C50" s="38"/>
      <c r="D50" s="38"/>
      <c r="E50" s="38"/>
      <c r="F50" s="38"/>
      <c r="G50" s="38"/>
      <c r="H50" s="40"/>
    </row>
    <row r="51" spans="1:8">
      <c r="A51" s="31" t="s">
        <v>300</v>
      </c>
      <c r="C51" s="38"/>
      <c r="D51" s="38"/>
      <c r="E51" s="38"/>
      <c r="F51" s="38"/>
      <c r="G51" s="38"/>
      <c r="H51" s="40"/>
    </row>
    <row r="52" spans="1:8">
      <c r="A52" s="31" t="s">
        <v>301</v>
      </c>
      <c r="C52" s="38"/>
      <c r="D52" s="38"/>
      <c r="E52" s="38"/>
      <c r="F52" s="38"/>
      <c r="G52" s="38"/>
      <c r="H52" s="40"/>
    </row>
    <row r="53" spans="1:8">
      <c r="A53" s="31" t="s">
        <v>229</v>
      </c>
      <c r="B53" s="31" t="s">
        <v>389</v>
      </c>
      <c r="C53" s="38"/>
      <c r="D53" s="38"/>
      <c r="E53" s="38"/>
      <c r="F53" s="38"/>
      <c r="G53" s="38"/>
      <c r="H53" s="40">
        <f t="shared" ref="H53:H65" si="4">+SUM(C53:G53)</f>
        <v>0</v>
      </c>
    </row>
    <row r="54" spans="1:8">
      <c r="A54" s="31" t="s">
        <v>230</v>
      </c>
      <c r="B54" s="31" t="s">
        <v>390</v>
      </c>
      <c r="C54" s="38"/>
      <c r="D54" s="38"/>
      <c r="E54" s="38"/>
      <c r="F54" s="38"/>
      <c r="G54" s="38"/>
      <c r="H54" s="40">
        <f t="shared" si="4"/>
        <v>0</v>
      </c>
    </row>
    <row r="55" spans="1:8">
      <c r="A55" s="31" t="s">
        <v>231</v>
      </c>
      <c r="B55" s="31" t="s">
        <v>391</v>
      </c>
      <c r="C55" s="38"/>
      <c r="D55" s="38"/>
      <c r="E55" s="38"/>
      <c r="F55" s="38"/>
      <c r="G55" s="38"/>
      <c r="H55" s="40">
        <f t="shared" si="4"/>
        <v>0</v>
      </c>
    </row>
    <row r="56" spans="1:8">
      <c r="A56" s="31" t="s">
        <v>232</v>
      </c>
      <c r="B56" s="31" t="s">
        <v>302</v>
      </c>
      <c r="C56" s="38"/>
      <c r="D56" s="38"/>
      <c r="E56" s="38"/>
      <c r="F56" s="38"/>
      <c r="G56" s="38"/>
      <c r="H56" s="40">
        <f t="shared" si="4"/>
        <v>0</v>
      </c>
    </row>
    <row r="57" spans="1:8">
      <c r="A57" s="31" t="s">
        <v>233</v>
      </c>
      <c r="B57" s="31" t="s">
        <v>303</v>
      </c>
      <c r="C57" s="38"/>
      <c r="D57" s="38"/>
      <c r="E57" s="38"/>
      <c r="F57" s="38"/>
      <c r="G57" s="38"/>
      <c r="H57" s="40">
        <f t="shared" si="4"/>
        <v>0</v>
      </c>
    </row>
    <row r="58" spans="1:8">
      <c r="A58" s="31" t="s">
        <v>0</v>
      </c>
      <c r="B58" s="31" t="s">
        <v>304</v>
      </c>
      <c r="C58" s="38">
        <v>11513</v>
      </c>
      <c r="D58" s="38">
        <v>17862</v>
      </c>
      <c r="E58" s="38">
        <v>14016</v>
      </c>
      <c r="F58" s="38">
        <v>16637</v>
      </c>
      <c r="G58" s="38"/>
      <c r="H58" s="40">
        <f t="shared" si="4"/>
        <v>60028</v>
      </c>
    </row>
    <row r="59" spans="1:8">
      <c r="A59" s="31" t="s">
        <v>1</v>
      </c>
      <c r="B59" s="31" t="s">
        <v>305</v>
      </c>
      <c r="C59" s="38"/>
      <c r="D59" s="38"/>
      <c r="E59" s="38"/>
      <c r="F59" s="38"/>
      <c r="G59" s="38"/>
      <c r="H59" s="40">
        <f t="shared" si="4"/>
        <v>0</v>
      </c>
    </row>
    <row r="60" spans="1:8">
      <c r="A60" s="31" t="s">
        <v>3</v>
      </c>
      <c r="B60" s="31" t="s">
        <v>2</v>
      </c>
      <c r="C60" s="38"/>
      <c r="D60" s="38"/>
      <c r="E60" s="38"/>
      <c r="F60" s="38"/>
      <c r="G60" s="38"/>
      <c r="H60" s="40">
        <f t="shared" si="4"/>
        <v>0</v>
      </c>
    </row>
    <row r="61" spans="1:8">
      <c r="A61" s="31" t="s">
        <v>4</v>
      </c>
      <c r="B61" s="31" t="s">
        <v>5</v>
      </c>
      <c r="C61" s="38"/>
      <c r="D61" s="38"/>
      <c r="E61" s="38"/>
      <c r="F61" s="38"/>
      <c r="G61" s="38"/>
      <c r="H61" s="40">
        <f t="shared" si="4"/>
        <v>0</v>
      </c>
    </row>
    <row r="62" spans="1:8">
      <c r="A62" s="31" t="s">
        <v>6</v>
      </c>
      <c r="B62" s="31" t="s">
        <v>7</v>
      </c>
      <c r="C62" s="38"/>
      <c r="D62" s="38"/>
      <c r="E62" s="38"/>
      <c r="F62" s="38"/>
      <c r="G62" s="38"/>
      <c r="H62" s="40">
        <f t="shared" si="4"/>
        <v>0</v>
      </c>
    </row>
    <row r="63" spans="1:8">
      <c r="A63" s="31" t="s">
        <v>8</v>
      </c>
      <c r="B63" s="31" t="s">
        <v>9</v>
      </c>
      <c r="C63" s="38"/>
      <c r="D63" s="38"/>
      <c r="E63" s="38"/>
      <c r="F63" s="38"/>
      <c r="G63" s="38"/>
      <c r="H63" s="40">
        <f t="shared" si="4"/>
        <v>0</v>
      </c>
    </row>
    <row r="64" spans="1:8">
      <c r="A64" s="31" t="s">
        <v>11</v>
      </c>
      <c r="B64" s="31" t="s">
        <v>307</v>
      </c>
      <c r="C64" s="38"/>
      <c r="D64" s="38"/>
      <c r="E64" s="38"/>
      <c r="F64" s="38"/>
      <c r="G64" s="38"/>
      <c r="H64" s="40">
        <f t="shared" si="4"/>
        <v>0</v>
      </c>
    </row>
    <row r="65" spans="1:8">
      <c r="A65" s="31" t="s">
        <v>10</v>
      </c>
      <c r="B65" s="31" t="s">
        <v>306</v>
      </c>
      <c r="C65" s="39"/>
      <c r="D65" s="39"/>
      <c r="E65" s="39"/>
      <c r="F65" s="39"/>
      <c r="G65" s="38"/>
      <c r="H65" s="87">
        <f t="shared" si="4"/>
        <v>0</v>
      </c>
    </row>
    <row r="66" spans="1:8">
      <c r="B66" s="31" t="s">
        <v>308</v>
      </c>
      <c r="C66" s="38">
        <f>SUM(C53:C65)</f>
        <v>11513</v>
      </c>
      <c r="D66" s="38">
        <f t="shared" ref="D66:F66" si="5">SUM(D53:D65)</f>
        <v>17862</v>
      </c>
      <c r="E66" s="38">
        <f t="shared" si="5"/>
        <v>14016</v>
      </c>
      <c r="F66" s="38">
        <f t="shared" si="5"/>
        <v>16637</v>
      </c>
      <c r="G66" s="38"/>
      <c r="H66" s="40">
        <f t="shared" ref="H66" si="6">SUM(H53:H65)</f>
        <v>60028</v>
      </c>
    </row>
    <row r="67" spans="1:8">
      <c r="C67" s="38"/>
      <c r="D67" s="38"/>
      <c r="E67" s="38"/>
      <c r="F67" s="38"/>
      <c r="G67" s="38"/>
      <c r="H67" s="40"/>
    </row>
    <row r="68" spans="1:8" s="4" customFormat="1">
      <c r="A68" s="35"/>
      <c r="B68" s="35" t="s">
        <v>309</v>
      </c>
      <c r="C68" s="40">
        <f>SUM(C38+C49+C66)</f>
        <v>11513</v>
      </c>
      <c r="D68" s="40">
        <f t="shared" ref="D68:H68" si="7">SUM(D38+D49+D66)</f>
        <v>17862</v>
      </c>
      <c r="E68" s="40">
        <f t="shared" si="7"/>
        <v>14016</v>
      </c>
      <c r="F68" s="40">
        <f t="shared" si="7"/>
        <v>16637</v>
      </c>
      <c r="G68" s="40"/>
      <c r="H68" s="40">
        <f t="shared" si="7"/>
        <v>60028</v>
      </c>
    </row>
    <row r="69" spans="1:8">
      <c r="C69" s="38"/>
      <c r="D69" s="38"/>
      <c r="E69" s="38"/>
      <c r="F69" s="38"/>
      <c r="G69" s="38"/>
      <c r="H69" s="40"/>
    </row>
    <row r="70" spans="1:8">
      <c r="A70" s="31" t="s">
        <v>310</v>
      </c>
      <c r="C70" s="38"/>
      <c r="D70" s="38"/>
      <c r="E70" s="38"/>
      <c r="F70" s="38"/>
      <c r="G70" s="38"/>
      <c r="H70" s="40"/>
    </row>
    <row r="71" spans="1:8">
      <c r="A71" s="31" t="s">
        <v>311</v>
      </c>
      <c r="C71" s="38"/>
      <c r="D71" s="38"/>
      <c r="E71" s="38"/>
      <c r="F71" s="38"/>
      <c r="G71" s="38"/>
      <c r="H71" s="40"/>
    </row>
    <row r="72" spans="1:8">
      <c r="A72" s="31" t="s">
        <v>19</v>
      </c>
      <c r="B72" s="31" t="s">
        <v>320</v>
      </c>
      <c r="C72" s="38"/>
      <c r="D72" s="38"/>
      <c r="E72" s="38"/>
      <c r="F72" s="38"/>
      <c r="G72" s="38"/>
      <c r="H72" s="163">
        <f>SUM(C72:F72)</f>
        <v>0</v>
      </c>
    </row>
    <row r="73" spans="1:8">
      <c r="A73" s="31" t="s">
        <v>12</v>
      </c>
      <c r="B73" s="31" t="s">
        <v>312</v>
      </c>
      <c r="C73" s="38"/>
      <c r="D73" s="38"/>
      <c r="E73" s="38"/>
      <c r="F73" s="38"/>
      <c r="G73" s="38"/>
      <c r="H73" s="163">
        <f t="shared" ref="H73:H79" si="8">SUM(C73:F73)</f>
        <v>0</v>
      </c>
    </row>
    <row r="74" spans="1:8">
      <c r="A74" s="31" t="s">
        <v>13</v>
      </c>
      <c r="B74" s="31" t="s">
        <v>313</v>
      </c>
      <c r="C74" s="38"/>
      <c r="D74" s="38"/>
      <c r="E74" s="38"/>
      <c r="F74" s="38"/>
      <c r="G74" s="38"/>
      <c r="H74" s="163">
        <f t="shared" si="8"/>
        <v>0</v>
      </c>
    </row>
    <row r="75" spans="1:8">
      <c r="A75" s="31" t="s">
        <v>14</v>
      </c>
      <c r="B75" s="31" t="s">
        <v>314</v>
      </c>
      <c r="C75" s="38"/>
      <c r="D75" s="38"/>
      <c r="E75" s="38"/>
      <c r="F75" s="38"/>
      <c r="G75" s="38"/>
      <c r="H75" s="163">
        <f t="shared" si="8"/>
        <v>0</v>
      </c>
    </row>
    <row r="76" spans="1:8">
      <c r="A76" s="31" t="s">
        <v>15</v>
      </c>
      <c r="B76" s="31" t="s">
        <v>315</v>
      </c>
      <c r="C76" s="38">
        <v>53450</v>
      </c>
      <c r="D76" s="38">
        <f>SUM('13-2014 Ret Emp'!$I73)*D7</f>
        <v>0</v>
      </c>
      <c r="E76" s="38">
        <f>SUM('13-2014 Ret Emp'!$I73)*E7</f>
        <v>0</v>
      </c>
      <c r="F76" s="38">
        <f>SUM('13-2014 Ret Emp'!$I73)*F7</f>
        <v>0</v>
      </c>
      <c r="G76" s="38"/>
      <c r="H76" s="163">
        <f t="shared" si="8"/>
        <v>53450</v>
      </c>
    </row>
    <row r="77" spans="1:8">
      <c r="A77" s="31" t="s">
        <v>16</v>
      </c>
      <c r="B77" s="31" t="s">
        <v>316</v>
      </c>
      <c r="C77" s="38"/>
      <c r="D77" s="38"/>
      <c r="E77" s="38"/>
      <c r="F77" s="38"/>
      <c r="G77" s="38"/>
      <c r="H77" s="163">
        <f t="shared" si="8"/>
        <v>0</v>
      </c>
    </row>
    <row r="78" spans="1:8">
      <c r="A78" s="31" t="s">
        <v>17</v>
      </c>
      <c r="B78" s="31" t="s">
        <v>317</v>
      </c>
      <c r="C78" s="38"/>
      <c r="D78" s="38"/>
      <c r="E78" s="38"/>
      <c r="F78" s="38"/>
      <c r="G78" s="38"/>
      <c r="H78" s="163">
        <f t="shared" si="8"/>
        <v>0</v>
      </c>
    </row>
    <row r="79" spans="1:8" ht="14.25" customHeight="1">
      <c r="A79" s="31" t="s">
        <v>18</v>
      </c>
      <c r="B79" s="31" t="s">
        <v>319</v>
      </c>
      <c r="C79" s="39"/>
      <c r="D79" s="39"/>
      <c r="E79" s="39"/>
      <c r="F79" s="39"/>
      <c r="G79" s="38"/>
      <c r="H79" s="87">
        <f t="shared" si="8"/>
        <v>0</v>
      </c>
    </row>
    <row r="80" spans="1:8">
      <c r="B80" s="31" t="s">
        <v>24</v>
      </c>
      <c r="C80" s="38">
        <f>SUM(C72:C79)</f>
        <v>53450</v>
      </c>
      <c r="D80" s="38">
        <f t="shared" ref="D80:F80" si="9">SUM(D72:D79)</f>
        <v>0</v>
      </c>
      <c r="E80" s="38">
        <f t="shared" si="9"/>
        <v>0</v>
      </c>
      <c r="F80" s="38">
        <f t="shared" si="9"/>
        <v>0</v>
      </c>
      <c r="G80" s="38"/>
      <c r="H80" s="40">
        <f t="shared" ref="H80" si="10">SUM(H72:H79)</f>
        <v>53450</v>
      </c>
    </row>
    <row r="81" spans="1:8">
      <c r="C81" s="38"/>
      <c r="D81" s="38"/>
      <c r="E81" s="38"/>
      <c r="F81" s="38"/>
      <c r="G81" s="38"/>
      <c r="H81" s="40"/>
    </row>
    <row r="82" spans="1:8">
      <c r="C82" s="38"/>
      <c r="D82" s="38"/>
      <c r="E82" s="38"/>
      <c r="F82" s="38"/>
      <c r="G82" s="38"/>
      <c r="H82" s="40"/>
    </row>
    <row r="83" spans="1:8">
      <c r="A83" s="36" t="s">
        <v>322</v>
      </c>
      <c r="C83" s="38"/>
      <c r="D83" s="38"/>
      <c r="E83" s="38"/>
      <c r="F83" s="38"/>
      <c r="G83" s="38"/>
      <c r="H83" s="40"/>
    </row>
    <row r="84" spans="1:8">
      <c r="A84" s="31" t="s">
        <v>20</v>
      </c>
      <c r="B84" s="31" t="s">
        <v>321</v>
      </c>
      <c r="C84" s="38"/>
      <c r="D84" s="38"/>
      <c r="E84" s="38"/>
      <c r="F84" s="38"/>
      <c r="G84" s="38"/>
      <c r="H84" s="163">
        <f t="shared" ref="H84:H87" si="11">SUM(C84:F84)</f>
        <v>0</v>
      </c>
    </row>
    <row r="85" spans="1:8">
      <c r="A85" s="31" t="s">
        <v>21</v>
      </c>
      <c r="B85" s="31" t="s">
        <v>322</v>
      </c>
      <c r="C85" s="38"/>
      <c r="D85" s="38"/>
      <c r="E85" s="38"/>
      <c r="F85" s="38"/>
      <c r="G85" s="38"/>
      <c r="H85" s="163">
        <f t="shared" si="11"/>
        <v>0</v>
      </c>
    </row>
    <row r="86" spans="1:8">
      <c r="A86" s="31" t="s">
        <v>406</v>
      </c>
      <c r="B86" s="31" t="s">
        <v>407</v>
      </c>
      <c r="C86" s="38"/>
      <c r="D86" s="38"/>
      <c r="E86" s="38"/>
      <c r="F86" s="38"/>
      <c r="G86" s="38"/>
      <c r="H86" s="163">
        <f t="shared" si="11"/>
        <v>0</v>
      </c>
    </row>
    <row r="87" spans="1:8">
      <c r="A87" s="31" t="s">
        <v>22</v>
      </c>
      <c r="B87" s="31" t="s">
        <v>23</v>
      </c>
      <c r="C87" s="39"/>
      <c r="D87" s="39"/>
      <c r="E87" s="39"/>
      <c r="F87" s="39"/>
      <c r="G87" s="38"/>
      <c r="H87" s="87">
        <f t="shared" si="11"/>
        <v>0</v>
      </c>
    </row>
    <row r="88" spans="1:8">
      <c r="B88" s="31" t="s">
        <v>323</v>
      </c>
      <c r="C88" s="38">
        <f>SUM(C84:C87)</f>
        <v>0</v>
      </c>
      <c r="D88" s="38">
        <f t="shared" ref="D88:F88" si="12">SUM(D84:D87)</f>
        <v>0</v>
      </c>
      <c r="E88" s="38">
        <f t="shared" si="12"/>
        <v>0</v>
      </c>
      <c r="F88" s="38">
        <f t="shared" si="12"/>
        <v>0</v>
      </c>
      <c r="G88" s="38"/>
      <c r="H88" s="40">
        <f t="shared" ref="H88" si="13">SUM(H84:H87)</f>
        <v>0</v>
      </c>
    </row>
    <row r="89" spans="1:8">
      <c r="C89" s="38"/>
      <c r="D89" s="38"/>
      <c r="E89" s="38"/>
      <c r="F89" s="38"/>
      <c r="G89" s="38"/>
      <c r="H89" s="40"/>
    </row>
    <row r="90" spans="1:8">
      <c r="B90" s="31" t="s">
        <v>324</v>
      </c>
      <c r="C90" s="40">
        <f>SUM(C80+C88)</f>
        <v>53450</v>
      </c>
      <c r="D90" s="40">
        <f t="shared" ref="D90:F90" si="14">SUM(D80+D88)</f>
        <v>0</v>
      </c>
      <c r="E90" s="40">
        <f t="shared" si="14"/>
        <v>0</v>
      </c>
      <c r="F90" s="40">
        <f t="shared" si="14"/>
        <v>0</v>
      </c>
      <c r="G90" s="40"/>
      <c r="H90" s="40">
        <f>SUM(H80+H88)</f>
        <v>53450</v>
      </c>
    </row>
    <row r="91" spans="1:8">
      <c r="C91" s="38"/>
      <c r="D91" s="38"/>
      <c r="E91" s="38"/>
      <c r="F91" s="38"/>
      <c r="G91" s="38"/>
      <c r="H91" s="40"/>
    </row>
    <row r="92" spans="1:8">
      <c r="A92" s="31" t="s">
        <v>325</v>
      </c>
      <c r="C92" s="38"/>
      <c r="D92" s="38"/>
      <c r="E92" s="38"/>
      <c r="F92" s="38"/>
      <c r="G92" s="38"/>
      <c r="H92" s="40"/>
    </row>
    <row r="93" spans="1:8">
      <c r="A93" s="31" t="s">
        <v>25</v>
      </c>
      <c r="B93" s="31" t="s">
        <v>33</v>
      </c>
      <c r="C93" s="38">
        <f>+C$7*139.64*2*1.05*12</f>
        <v>3518.9279999999999</v>
      </c>
      <c r="D93" s="38">
        <f t="shared" ref="D93:F93" si="15">+D$7*139.64*2*1.05*12</f>
        <v>0</v>
      </c>
      <c r="E93" s="38">
        <f t="shared" si="15"/>
        <v>0</v>
      </c>
      <c r="F93" s="38">
        <f t="shared" si="15"/>
        <v>0</v>
      </c>
      <c r="G93" s="38"/>
      <c r="H93" s="163">
        <f t="shared" ref="H93:H101" si="16">SUM(C93:F93)</f>
        <v>3518.9279999999999</v>
      </c>
    </row>
    <row r="94" spans="1:8">
      <c r="A94" s="31" t="s">
        <v>26</v>
      </c>
      <c r="B94" s="31" t="s">
        <v>34</v>
      </c>
      <c r="C94" s="38">
        <f>+C$7*8.74*2*1.02*12</f>
        <v>213.95519999999999</v>
      </c>
      <c r="D94" s="38">
        <f t="shared" ref="D94:F94" si="17">+D$7*8.74*2*1.02*12</f>
        <v>0</v>
      </c>
      <c r="E94" s="38">
        <f t="shared" si="17"/>
        <v>0</v>
      </c>
      <c r="F94" s="38">
        <f t="shared" si="17"/>
        <v>0</v>
      </c>
      <c r="G94" s="38"/>
      <c r="H94" s="163">
        <f t="shared" si="16"/>
        <v>213.95519999999999</v>
      </c>
    </row>
    <row r="95" spans="1:8">
      <c r="A95" s="31" t="s">
        <v>28</v>
      </c>
      <c r="B95" s="31" t="s">
        <v>27</v>
      </c>
      <c r="C95" s="38">
        <f>(+C$88-C$84+C$80)*0.062</f>
        <v>3313.9</v>
      </c>
      <c r="D95" s="38">
        <f t="shared" ref="D95:F95" si="18">(+D$88-D$84+D$80)*0.062</f>
        <v>0</v>
      </c>
      <c r="E95" s="38">
        <f t="shared" si="18"/>
        <v>0</v>
      </c>
      <c r="F95" s="38">
        <f t="shared" si="18"/>
        <v>0</v>
      </c>
      <c r="G95" s="38"/>
      <c r="H95" s="163">
        <f t="shared" si="16"/>
        <v>3313.9</v>
      </c>
    </row>
    <row r="96" spans="1:8">
      <c r="A96" s="31" t="s">
        <v>30</v>
      </c>
      <c r="B96" s="31" t="s">
        <v>29</v>
      </c>
      <c r="C96" s="38">
        <f>(+C$88-C$84+C$80)*0.0145</f>
        <v>775.02500000000009</v>
      </c>
      <c r="D96" s="38">
        <f t="shared" ref="D96:F96" si="19">(+D$88-D$84+D$80)*0.0145</f>
        <v>0</v>
      </c>
      <c r="E96" s="38">
        <f t="shared" si="19"/>
        <v>0</v>
      </c>
      <c r="F96" s="38">
        <f t="shared" si="19"/>
        <v>0</v>
      </c>
      <c r="G96" s="38"/>
      <c r="H96" s="163">
        <f t="shared" si="16"/>
        <v>775.02500000000009</v>
      </c>
    </row>
    <row r="97" spans="1:8">
      <c r="A97" s="31" t="s">
        <v>31</v>
      </c>
      <c r="B97" s="31" t="s">
        <v>32</v>
      </c>
      <c r="C97" s="38">
        <f>(+C$88-C$84+C$80)*0.06</f>
        <v>3207</v>
      </c>
      <c r="D97" s="38">
        <f t="shared" ref="D97:F97" si="20">(+D$88-D$84+D$80)*0.06</f>
        <v>0</v>
      </c>
      <c r="E97" s="38">
        <f t="shared" si="20"/>
        <v>0</v>
      </c>
      <c r="F97" s="38">
        <f t="shared" si="20"/>
        <v>0</v>
      </c>
      <c r="G97" s="38"/>
      <c r="H97" s="163">
        <f t="shared" si="16"/>
        <v>3207</v>
      </c>
    </row>
    <row r="98" spans="1:8">
      <c r="A98" s="31" t="s">
        <v>36</v>
      </c>
      <c r="B98" s="31" t="s">
        <v>35</v>
      </c>
      <c r="C98" s="38">
        <f>(+C$88-C$84+C$80)*0.0056</f>
        <v>299.32</v>
      </c>
      <c r="D98" s="38">
        <f t="shared" ref="D98:F98" si="21">(+D$88-D$84+D$80)*0.0056</f>
        <v>0</v>
      </c>
      <c r="E98" s="38">
        <f t="shared" si="21"/>
        <v>0</v>
      </c>
      <c r="F98" s="38">
        <f t="shared" si="21"/>
        <v>0</v>
      </c>
      <c r="G98" s="38"/>
      <c r="H98" s="163">
        <f t="shared" si="16"/>
        <v>299.32</v>
      </c>
    </row>
    <row r="99" spans="1:8">
      <c r="A99" s="31" t="s">
        <v>38</v>
      </c>
      <c r="B99" s="31" t="s">
        <v>37</v>
      </c>
      <c r="C99" s="38">
        <f>+C$7*7700*0.0201</f>
        <v>154.77000000000001</v>
      </c>
      <c r="D99" s="38">
        <f t="shared" ref="D99:F99" si="22">+D$7*7700*0.0201</f>
        <v>0</v>
      </c>
      <c r="E99" s="38">
        <f t="shared" si="22"/>
        <v>0</v>
      </c>
      <c r="F99" s="38">
        <f t="shared" si="22"/>
        <v>0</v>
      </c>
      <c r="G99" s="38"/>
      <c r="H99" s="163">
        <f t="shared" si="16"/>
        <v>154.77000000000001</v>
      </c>
    </row>
    <row r="100" spans="1:8">
      <c r="A100" s="31" t="s">
        <v>83</v>
      </c>
      <c r="B100" s="31" t="s">
        <v>84</v>
      </c>
      <c r="C100" s="38"/>
      <c r="D100" s="38"/>
      <c r="E100" s="38"/>
      <c r="F100" s="38"/>
      <c r="G100" s="38"/>
      <c r="H100" s="163">
        <f t="shared" si="16"/>
        <v>0</v>
      </c>
    </row>
    <row r="101" spans="1:8">
      <c r="A101" s="31" t="s">
        <v>39</v>
      </c>
      <c r="B101" s="31" t="s">
        <v>40</v>
      </c>
      <c r="C101" s="39">
        <f>(+C$88-C$84+C$80)*(0.0024+0.0036+0.0013)</f>
        <v>390.185</v>
      </c>
      <c r="D101" s="39">
        <f t="shared" ref="D101:F101" si="23">(+D$88-D$84+D$80)*(0.0024+0.0036+0.0013)</f>
        <v>0</v>
      </c>
      <c r="E101" s="39">
        <f t="shared" si="23"/>
        <v>0</v>
      </c>
      <c r="F101" s="39">
        <f t="shared" si="23"/>
        <v>0</v>
      </c>
      <c r="G101" s="38"/>
      <c r="H101" s="87">
        <f t="shared" si="16"/>
        <v>390.185</v>
      </c>
    </row>
    <row r="102" spans="1:8">
      <c r="B102" s="31" t="s">
        <v>234</v>
      </c>
      <c r="C102" s="38">
        <f>SUM(C93:C101)</f>
        <v>11873.083199999999</v>
      </c>
      <c r="D102" s="38">
        <f t="shared" ref="D102:F102" si="24">SUM(D93:D101)</f>
        <v>0</v>
      </c>
      <c r="E102" s="38">
        <f t="shared" si="24"/>
        <v>0</v>
      </c>
      <c r="F102" s="38">
        <f t="shared" si="24"/>
        <v>0</v>
      </c>
      <c r="G102" s="38"/>
      <c r="H102" s="40">
        <f t="shared" ref="H102" si="25">SUM(H93:H101)</f>
        <v>11873.083199999999</v>
      </c>
    </row>
    <row r="103" spans="1:8">
      <c r="C103" s="38"/>
      <c r="D103" s="38"/>
      <c r="E103" s="38"/>
      <c r="F103" s="38"/>
      <c r="G103" s="38"/>
      <c r="H103" s="40"/>
    </row>
    <row r="104" spans="1:8" s="4" customFormat="1">
      <c r="A104" s="35"/>
      <c r="B104" s="35" t="s">
        <v>235</v>
      </c>
      <c r="C104" s="40">
        <f>SUM(C90+C102)</f>
        <v>65323.083200000001</v>
      </c>
      <c r="D104" s="40">
        <f t="shared" ref="D104:F104" si="26">SUM(D90+D102)</f>
        <v>0</v>
      </c>
      <c r="E104" s="40">
        <f t="shared" si="26"/>
        <v>0</v>
      </c>
      <c r="F104" s="40">
        <f t="shared" si="26"/>
        <v>0</v>
      </c>
      <c r="G104" s="40"/>
      <c r="H104" s="40">
        <f>SUM(H90+H102)</f>
        <v>65323.083200000001</v>
      </c>
    </row>
    <row r="105" spans="1:8">
      <c r="C105" s="38"/>
      <c r="D105" s="38"/>
      <c r="E105" s="38"/>
      <c r="F105" s="38"/>
      <c r="G105" s="38"/>
      <c r="H105" s="40"/>
    </row>
    <row r="106" spans="1:8">
      <c r="A106" s="31" t="s">
        <v>236</v>
      </c>
      <c r="C106" s="38"/>
      <c r="D106" s="38"/>
      <c r="E106" s="38"/>
      <c r="F106" s="38"/>
      <c r="G106" s="38"/>
      <c r="H106" s="40"/>
    </row>
    <row r="107" spans="1:8">
      <c r="A107" s="31" t="s">
        <v>237</v>
      </c>
      <c r="C107" s="38"/>
      <c r="D107" s="38"/>
      <c r="E107" s="38"/>
      <c r="F107" s="38"/>
      <c r="G107" s="38"/>
      <c r="H107" s="40"/>
    </row>
    <row r="108" spans="1:8">
      <c r="A108" s="31" t="s">
        <v>51</v>
      </c>
      <c r="B108" s="31" t="s">
        <v>50</v>
      </c>
      <c r="C108" s="38">
        <f>4125*12</f>
        <v>49500</v>
      </c>
      <c r="D108" s="38">
        <v>42300</v>
      </c>
      <c r="E108" s="38">
        <v>18300</v>
      </c>
      <c r="F108" s="38">
        <v>30300</v>
      </c>
      <c r="G108" s="162"/>
      <c r="H108" s="163">
        <f t="shared" ref="H108:H121" si="27">SUM(C108:F108)</f>
        <v>140400</v>
      </c>
    </row>
    <row r="109" spans="1:8">
      <c r="A109" s="31" t="s">
        <v>41</v>
      </c>
      <c r="B109" s="31" t="s">
        <v>42</v>
      </c>
      <c r="C109" s="38"/>
      <c r="D109" s="38"/>
      <c r="E109" s="38"/>
      <c r="F109" s="38"/>
      <c r="G109" s="38"/>
      <c r="H109" s="163">
        <f t="shared" si="27"/>
        <v>0</v>
      </c>
    </row>
    <row r="110" spans="1:8">
      <c r="A110" s="31" t="s">
        <v>43</v>
      </c>
      <c r="B110" s="31" t="s">
        <v>238</v>
      </c>
      <c r="C110" s="38">
        <v>3000</v>
      </c>
      <c r="D110" s="38">
        <f>18500/$H$7*D$7</f>
        <v>0</v>
      </c>
      <c r="E110" s="38">
        <f>18500/$H$7*E$7</f>
        <v>0</v>
      </c>
      <c r="F110" s="38">
        <f>18500/$H$7*F$7</f>
        <v>0</v>
      </c>
      <c r="G110" s="38"/>
      <c r="H110" s="163">
        <f t="shared" si="27"/>
        <v>3000</v>
      </c>
    </row>
    <row r="111" spans="1:8">
      <c r="A111" s="31" t="s">
        <v>44</v>
      </c>
      <c r="B111" s="31" t="s">
        <v>45</v>
      </c>
      <c r="C111" s="38"/>
      <c r="D111" s="38"/>
      <c r="E111" s="38"/>
      <c r="F111" s="38"/>
      <c r="G111" s="38"/>
      <c r="H111" s="163">
        <f t="shared" si="27"/>
        <v>0</v>
      </c>
    </row>
    <row r="112" spans="1:8">
      <c r="A112" s="31" t="s">
        <v>46</v>
      </c>
      <c r="B112" s="31" t="s">
        <v>239</v>
      </c>
      <c r="C112" s="38"/>
      <c r="D112" s="38"/>
      <c r="E112" s="38"/>
      <c r="F112" s="38"/>
      <c r="G112" s="38"/>
      <c r="H112" s="163">
        <f t="shared" si="27"/>
        <v>0</v>
      </c>
    </row>
    <row r="113" spans="1:8">
      <c r="A113" s="31" t="s">
        <v>47</v>
      </c>
      <c r="B113" s="31" t="s">
        <v>240</v>
      </c>
      <c r="C113" s="38"/>
      <c r="D113" s="38"/>
      <c r="E113" s="38"/>
      <c r="F113" s="38"/>
      <c r="G113" s="38"/>
      <c r="H113" s="163">
        <f t="shared" si="27"/>
        <v>0</v>
      </c>
    </row>
    <row r="114" spans="1:8">
      <c r="A114" s="31" t="s">
        <v>48</v>
      </c>
      <c r="B114" s="31" t="s">
        <v>49</v>
      </c>
      <c r="C114" s="38">
        <v>9000</v>
      </c>
      <c r="D114" s="38">
        <v>1800</v>
      </c>
      <c r="E114" s="38">
        <v>1800</v>
      </c>
      <c r="F114" s="38">
        <v>1800</v>
      </c>
      <c r="G114" s="65"/>
      <c r="H114" s="163">
        <f t="shared" si="27"/>
        <v>14400</v>
      </c>
    </row>
    <row r="115" spans="1:8">
      <c r="A115" s="31" t="s">
        <v>82</v>
      </c>
      <c r="B115" s="31" t="s">
        <v>166</v>
      </c>
      <c r="C115" s="38"/>
      <c r="D115" s="38"/>
      <c r="E115" s="38"/>
      <c r="F115" s="38"/>
      <c r="G115" s="38"/>
      <c r="H115" s="163">
        <f t="shared" si="27"/>
        <v>0</v>
      </c>
    </row>
    <row r="116" spans="1:8">
      <c r="A116" s="31" t="s">
        <v>104</v>
      </c>
      <c r="B116" s="31" t="s">
        <v>103</v>
      </c>
      <c r="C116" s="38"/>
      <c r="D116" s="38"/>
      <c r="E116" s="38"/>
      <c r="F116" s="38"/>
      <c r="G116" s="38"/>
      <c r="H116" s="163">
        <f t="shared" si="27"/>
        <v>0</v>
      </c>
    </row>
    <row r="117" spans="1:8">
      <c r="A117" s="31" t="s">
        <v>59</v>
      </c>
      <c r="B117" s="31" t="s">
        <v>318</v>
      </c>
      <c r="C117" s="38"/>
      <c r="D117" s="38"/>
      <c r="E117" s="38"/>
      <c r="F117" s="38"/>
      <c r="G117" s="38"/>
      <c r="H117" s="163">
        <f t="shared" si="27"/>
        <v>0</v>
      </c>
    </row>
    <row r="118" spans="1:8">
      <c r="A118" s="31" t="s">
        <v>87</v>
      </c>
      <c r="B118" s="31" t="s">
        <v>88</v>
      </c>
      <c r="C118" s="38"/>
      <c r="D118" s="38"/>
      <c r="E118" s="38"/>
      <c r="F118" s="38"/>
      <c r="G118" s="38"/>
      <c r="H118" s="163">
        <f t="shared" si="27"/>
        <v>0</v>
      </c>
    </row>
    <row r="119" spans="1:8">
      <c r="A119" s="31" t="s">
        <v>89</v>
      </c>
      <c r="B119" s="31" t="s">
        <v>90</v>
      </c>
      <c r="C119" s="38"/>
      <c r="D119" s="38"/>
      <c r="E119" s="38"/>
      <c r="F119" s="38"/>
      <c r="G119" s="38"/>
      <c r="H119" s="163">
        <f t="shared" si="27"/>
        <v>0</v>
      </c>
    </row>
    <row r="120" spans="1:8">
      <c r="A120" s="31" t="s">
        <v>413</v>
      </c>
      <c r="B120" s="31" t="s">
        <v>414</v>
      </c>
      <c r="C120" s="38"/>
      <c r="D120" s="38"/>
      <c r="E120" s="38"/>
      <c r="F120" s="38"/>
      <c r="G120" s="38"/>
      <c r="H120" s="163">
        <f t="shared" si="27"/>
        <v>0</v>
      </c>
    </row>
    <row r="121" spans="1:8">
      <c r="A121" s="31" t="s">
        <v>52</v>
      </c>
      <c r="B121" s="31" t="s">
        <v>53</v>
      </c>
      <c r="C121" s="39"/>
      <c r="D121" s="39"/>
      <c r="E121" s="39"/>
      <c r="F121" s="39"/>
      <c r="G121" s="38"/>
      <c r="H121" s="87">
        <f t="shared" si="27"/>
        <v>0</v>
      </c>
    </row>
    <row r="122" spans="1:8">
      <c r="B122" s="31" t="s">
        <v>241</v>
      </c>
      <c r="C122" s="38">
        <f>SUM(C108:C121)</f>
        <v>61500</v>
      </c>
      <c r="D122" s="38">
        <f t="shared" ref="D122:F122" si="28">SUM(D108:D121)</f>
        <v>44100</v>
      </c>
      <c r="E122" s="38">
        <f t="shared" si="28"/>
        <v>20100</v>
      </c>
      <c r="F122" s="38">
        <f t="shared" si="28"/>
        <v>32100</v>
      </c>
      <c r="G122" s="38"/>
      <c r="H122" s="40">
        <f>SUM(H108:H121)</f>
        <v>157800</v>
      </c>
    </row>
    <row r="123" spans="1:8">
      <c r="C123" s="38"/>
      <c r="D123" s="38"/>
      <c r="E123" s="38"/>
      <c r="F123" s="38"/>
      <c r="G123" s="38"/>
      <c r="H123" s="40"/>
    </row>
    <row r="124" spans="1:8">
      <c r="A124" s="31" t="s">
        <v>242</v>
      </c>
      <c r="C124" s="38"/>
      <c r="D124" s="38"/>
      <c r="E124" s="38"/>
      <c r="F124" s="38"/>
      <c r="G124" s="38"/>
      <c r="H124" s="40"/>
    </row>
    <row r="125" spans="1:8">
      <c r="A125" s="31" t="s">
        <v>56</v>
      </c>
      <c r="B125" s="31" t="s">
        <v>245</v>
      </c>
      <c r="C125" s="38"/>
      <c r="D125" s="38"/>
      <c r="E125" s="38"/>
      <c r="F125" s="38"/>
      <c r="G125" s="38"/>
      <c r="H125" s="163">
        <f t="shared" ref="H125:H132" si="29">SUM(C125:F125)</f>
        <v>0</v>
      </c>
    </row>
    <row r="126" spans="1:8">
      <c r="A126" s="31" t="s">
        <v>57</v>
      </c>
      <c r="B126" s="31" t="s">
        <v>246</v>
      </c>
      <c r="C126" s="38"/>
      <c r="D126" s="38"/>
      <c r="E126" s="38"/>
      <c r="F126" s="38"/>
      <c r="G126" s="38"/>
      <c r="H126" s="163">
        <f t="shared" si="29"/>
        <v>0</v>
      </c>
    </row>
    <row r="127" spans="1:8">
      <c r="A127" s="31" t="s">
        <v>58</v>
      </c>
      <c r="B127" s="31" t="s">
        <v>247</v>
      </c>
      <c r="C127" s="38"/>
      <c r="D127" s="38"/>
      <c r="E127" s="38"/>
      <c r="F127" s="38"/>
      <c r="G127" s="38"/>
      <c r="H127" s="163">
        <f t="shared" si="29"/>
        <v>0</v>
      </c>
    </row>
    <row r="128" spans="1:8">
      <c r="A128" s="31" t="s">
        <v>55</v>
      </c>
      <c r="B128" s="31" t="s">
        <v>244</v>
      </c>
      <c r="C128" s="38"/>
      <c r="D128" s="38"/>
      <c r="E128" s="38"/>
      <c r="F128" s="38"/>
      <c r="G128" s="38"/>
      <c r="H128" s="163">
        <f t="shared" si="29"/>
        <v>0</v>
      </c>
    </row>
    <row r="129" spans="1:8" ht="10.5" customHeight="1">
      <c r="A129" s="31" t="s">
        <v>54</v>
      </c>
      <c r="B129" s="31" t="s">
        <v>243</v>
      </c>
      <c r="C129" s="38"/>
      <c r="D129" s="38"/>
      <c r="E129" s="38"/>
      <c r="F129" s="38"/>
      <c r="G129" s="38"/>
      <c r="H129" s="163">
        <f t="shared" si="29"/>
        <v>0</v>
      </c>
    </row>
    <row r="130" spans="1:8">
      <c r="A130" s="31" t="s">
        <v>60</v>
      </c>
      <c r="B130" s="31" t="s">
        <v>61</v>
      </c>
      <c r="C130" s="38">
        <v>11920</v>
      </c>
      <c r="D130" s="38"/>
      <c r="E130" s="38"/>
      <c r="F130" s="38"/>
      <c r="G130" s="38"/>
      <c r="H130" s="163">
        <f t="shared" si="29"/>
        <v>11920</v>
      </c>
    </row>
    <row r="131" spans="1:8">
      <c r="A131" s="31" t="s">
        <v>411</v>
      </c>
      <c r="B131" s="31" t="s">
        <v>412</v>
      </c>
      <c r="C131" s="38"/>
      <c r="D131" s="38"/>
      <c r="E131" s="38"/>
      <c r="F131" s="38"/>
      <c r="G131" s="38"/>
      <c r="H131" s="163">
        <f t="shared" si="29"/>
        <v>0</v>
      </c>
    </row>
    <row r="132" spans="1:8">
      <c r="A132" s="31" t="s">
        <v>62</v>
      </c>
      <c r="B132" s="31" t="s">
        <v>248</v>
      </c>
      <c r="C132" s="39">
        <v>9000</v>
      </c>
      <c r="D132" s="39"/>
      <c r="E132" s="39"/>
      <c r="F132" s="39"/>
      <c r="G132" s="38"/>
      <c r="H132" s="87">
        <f t="shared" si="29"/>
        <v>9000</v>
      </c>
    </row>
    <row r="133" spans="1:8">
      <c r="B133" s="31" t="s">
        <v>249</v>
      </c>
      <c r="C133" s="38">
        <f>SUM(C125:C132)</f>
        <v>20920</v>
      </c>
      <c r="D133" s="38">
        <f t="shared" ref="D133:F133" si="30">SUM(D125:D132)</f>
        <v>0</v>
      </c>
      <c r="E133" s="38">
        <f t="shared" si="30"/>
        <v>0</v>
      </c>
      <c r="F133" s="38">
        <f t="shared" si="30"/>
        <v>0</v>
      </c>
      <c r="G133" s="38"/>
      <c r="H133" s="40">
        <f>SUM(H125:H132)</f>
        <v>20920</v>
      </c>
    </row>
    <row r="134" spans="1:8">
      <c r="C134" s="38"/>
      <c r="D134" s="38"/>
      <c r="E134" s="38"/>
      <c r="F134" s="38"/>
      <c r="G134" s="38"/>
      <c r="H134" s="40"/>
    </row>
    <row r="135" spans="1:8">
      <c r="A135" s="31" t="s">
        <v>250</v>
      </c>
      <c r="C135" s="38"/>
      <c r="D135" s="38"/>
      <c r="E135" s="38"/>
      <c r="F135" s="38"/>
      <c r="G135" s="38"/>
      <c r="H135" s="40"/>
    </row>
    <row r="136" spans="1:8">
      <c r="A136" s="31" t="s">
        <v>251</v>
      </c>
      <c r="C136" s="38"/>
      <c r="D136" s="38"/>
      <c r="E136" s="38"/>
      <c r="F136" s="38"/>
      <c r="G136" s="38"/>
      <c r="H136" s="40"/>
    </row>
    <row r="137" spans="1:8">
      <c r="A137" s="31" t="s">
        <v>63</v>
      </c>
      <c r="B137" s="31" t="s">
        <v>252</v>
      </c>
      <c r="C137" s="38"/>
      <c r="D137" s="38"/>
      <c r="E137" s="38"/>
      <c r="F137" s="38"/>
      <c r="G137" s="38"/>
      <c r="H137" s="163">
        <f t="shared" ref="H137:H140" si="31">SUM(C137:F137)</f>
        <v>0</v>
      </c>
    </row>
    <row r="138" spans="1:8">
      <c r="A138" s="31" t="s">
        <v>64</v>
      </c>
      <c r="B138" s="31" t="s">
        <v>253</v>
      </c>
      <c r="C138" s="38"/>
      <c r="D138" s="38"/>
      <c r="E138" s="38"/>
      <c r="F138" s="38"/>
      <c r="G138" s="38"/>
      <c r="H138" s="163">
        <f t="shared" si="31"/>
        <v>0</v>
      </c>
    </row>
    <row r="139" spans="1:8">
      <c r="A139" s="31" t="s">
        <v>417</v>
      </c>
      <c r="B139" s="31" t="s">
        <v>418</v>
      </c>
      <c r="C139" s="38"/>
      <c r="D139" s="38"/>
      <c r="E139" s="38"/>
      <c r="F139" s="38"/>
      <c r="G139" s="38"/>
      <c r="H139" s="163">
        <f t="shared" si="31"/>
        <v>0</v>
      </c>
    </row>
    <row r="140" spans="1:8">
      <c r="A140" s="31" t="s">
        <v>65</v>
      </c>
      <c r="B140" s="31" t="s">
        <v>254</v>
      </c>
      <c r="C140" s="39"/>
      <c r="D140" s="39"/>
      <c r="E140" s="39"/>
      <c r="F140" s="39"/>
      <c r="G140" s="38"/>
      <c r="H140" s="87">
        <f t="shared" si="31"/>
        <v>0</v>
      </c>
    </row>
    <row r="141" spans="1:8">
      <c r="B141" s="31" t="s">
        <v>255</v>
      </c>
      <c r="C141" s="38">
        <f>SUM(C137:C140)</f>
        <v>0</v>
      </c>
      <c r="D141" s="38">
        <f t="shared" ref="D141:F141" si="32">SUM(D137:D140)</f>
        <v>0</v>
      </c>
      <c r="E141" s="38">
        <f t="shared" si="32"/>
        <v>0</v>
      </c>
      <c r="F141" s="38">
        <f t="shared" si="32"/>
        <v>0</v>
      </c>
      <c r="G141" s="38"/>
      <c r="H141" s="40">
        <f>SUM(H137:H140)</f>
        <v>0</v>
      </c>
    </row>
    <row r="142" spans="1:8">
      <c r="C142" s="38"/>
      <c r="D142" s="38"/>
      <c r="E142" s="38"/>
      <c r="F142" s="38"/>
      <c r="G142" s="38"/>
      <c r="H142" s="40"/>
    </row>
    <row r="143" spans="1:8">
      <c r="A143" s="31" t="s">
        <v>256</v>
      </c>
      <c r="C143" s="38"/>
      <c r="D143" s="38"/>
      <c r="E143" s="38"/>
      <c r="F143" s="38"/>
      <c r="G143" s="38"/>
      <c r="H143" s="40"/>
    </row>
    <row r="144" spans="1:8">
      <c r="A144" s="31" t="s">
        <v>66</v>
      </c>
      <c r="B144" s="31" t="s">
        <v>257</v>
      </c>
      <c r="C144" s="38">
        <v>853</v>
      </c>
      <c r="D144" s="38">
        <v>284</v>
      </c>
      <c r="E144" s="38">
        <v>114</v>
      </c>
      <c r="F144" s="38">
        <v>284</v>
      </c>
      <c r="G144" s="38"/>
      <c r="H144" s="163">
        <f t="shared" ref="H144:H149" si="33">SUM(C144:F144)</f>
        <v>1535</v>
      </c>
    </row>
    <row r="145" spans="1:8">
      <c r="A145" s="31" t="s">
        <v>67</v>
      </c>
      <c r="B145" s="31" t="s">
        <v>258</v>
      </c>
      <c r="C145" s="38"/>
      <c r="D145" s="38"/>
      <c r="E145" s="38"/>
      <c r="F145" s="38"/>
      <c r="G145" s="38"/>
      <c r="H145" s="163">
        <f t="shared" si="33"/>
        <v>0</v>
      </c>
    </row>
    <row r="146" spans="1:8">
      <c r="A146" s="31" t="s">
        <v>68</v>
      </c>
      <c r="B146" s="31" t="s">
        <v>259</v>
      </c>
      <c r="C146" s="38">
        <v>13260</v>
      </c>
      <c r="D146" s="38">
        <v>1560</v>
      </c>
      <c r="E146" s="38">
        <v>780</v>
      </c>
      <c r="F146" s="38">
        <v>2340</v>
      </c>
      <c r="G146" s="38"/>
      <c r="H146" s="163">
        <f t="shared" si="33"/>
        <v>17940</v>
      </c>
    </row>
    <row r="147" spans="1:8">
      <c r="A147" s="31" t="s">
        <v>69</v>
      </c>
      <c r="B147" s="31" t="s">
        <v>260</v>
      </c>
      <c r="C147" s="38">
        <v>1888</v>
      </c>
      <c r="D147" s="38">
        <v>21942</v>
      </c>
      <c r="E147" s="38">
        <v>17663</v>
      </c>
      <c r="F147" s="38">
        <v>19551</v>
      </c>
      <c r="G147" s="38"/>
      <c r="H147" s="163">
        <f t="shared" si="33"/>
        <v>61044</v>
      </c>
    </row>
    <row r="148" spans="1:8" ht="12" customHeight="1">
      <c r="A148" s="31" t="s">
        <v>70</v>
      </c>
      <c r="B148" s="31" t="s">
        <v>261</v>
      </c>
      <c r="C148" s="38"/>
      <c r="D148" s="38"/>
      <c r="E148" s="38"/>
      <c r="F148" s="38"/>
      <c r="G148" s="38"/>
      <c r="H148" s="163">
        <f t="shared" si="33"/>
        <v>0</v>
      </c>
    </row>
    <row r="149" spans="1:8">
      <c r="A149" s="31" t="s">
        <v>425</v>
      </c>
      <c r="B149" s="31" t="s">
        <v>427</v>
      </c>
      <c r="C149" s="39">
        <f>32500/$H$7*C$7</f>
        <v>32500</v>
      </c>
      <c r="D149" s="39">
        <f>32500/$H$7*D$7</f>
        <v>0</v>
      </c>
      <c r="E149" s="39">
        <f>32500/$H$7*E$7</f>
        <v>0</v>
      </c>
      <c r="F149" s="39">
        <f>32500/$H$7*F$7</f>
        <v>0</v>
      </c>
      <c r="G149" s="38"/>
      <c r="H149" s="87">
        <f t="shared" si="33"/>
        <v>32500</v>
      </c>
    </row>
    <row r="150" spans="1:8">
      <c r="B150" s="31" t="s">
        <v>262</v>
      </c>
      <c r="C150" s="38">
        <f>SUM(C144:C149)</f>
        <v>48501</v>
      </c>
      <c r="D150" s="38">
        <f t="shared" ref="D150:F150" si="34">SUM(D144:D149)</f>
        <v>23786</v>
      </c>
      <c r="E150" s="38">
        <f t="shared" si="34"/>
        <v>18557</v>
      </c>
      <c r="F150" s="38">
        <f t="shared" si="34"/>
        <v>22175</v>
      </c>
      <c r="G150" s="38"/>
      <c r="H150" s="40">
        <f t="shared" ref="H150" si="35">SUM(H144:H149)</f>
        <v>113019</v>
      </c>
    </row>
    <row r="151" spans="1:8">
      <c r="C151" s="38"/>
      <c r="D151" s="38"/>
      <c r="E151" s="38"/>
      <c r="F151" s="38"/>
      <c r="G151" s="38"/>
      <c r="H151" s="40"/>
    </row>
    <row r="152" spans="1:8">
      <c r="A152" s="31" t="s">
        <v>263</v>
      </c>
      <c r="C152" s="38"/>
      <c r="D152" s="38"/>
      <c r="E152" s="38"/>
      <c r="F152" s="38"/>
      <c r="G152" s="38"/>
      <c r="H152" s="40"/>
    </row>
    <row r="153" spans="1:8">
      <c r="A153" s="31" t="s">
        <v>264</v>
      </c>
      <c r="C153" s="38"/>
      <c r="D153" s="38"/>
      <c r="E153" s="38"/>
      <c r="F153" s="38"/>
      <c r="G153" s="38"/>
      <c r="H153" s="40"/>
    </row>
    <row r="154" spans="1:8">
      <c r="A154" s="31" t="s">
        <v>71</v>
      </c>
      <c r="B154" s="31" t="s">
        <v>72</v>
      </c>
      <c r="C154" s="39">
        <v>3000</v>
      </c>
      <c r="D154" s="39">
        <v>0</v>
      </c>
      <c r="E154" s="39">
        <v>0</v>
      </c>
      <c r="F154" s="39">
        <v>0</v>
      </c>
      <c r="G154" s="38"/>
      <c r="H154" s="87">
        <f t="shared" ref="H154" si="36">SUM(C154:F154)</f>
        <v>3000</v>
      </c>
    </row>
    <row r="155" spans="1:8">
      <c r="B155" s="31" t="s">
        <v>265</v>
      </c>
      <c r="C155" s="38">
        <f>SUM(C154)</f>
        <v>3000</v>
      </c>
      <c r="D155" s="38">
        <f t="shared" ref="D155:F155" si="37">SUM(D154)</f>
        <v>0</v>
      </c>
      <c r="E155" s="38">
        <f t="shared" si="37"/>
        <v>0</v>
      </c>
      <c r="F155" s="38">
        <f t="shared" si="37"/>
        <v>0</v>
      </c>
      <c r="G155" s="38"/>
      <c r="H155" s="40">
        <f t="shared" ref="H155" si="38">SUM(H154)</f>
        <v>3000</v>
      </c>
    </row>
    <row r="156" spans="1:8">
      <c r="C156" s="38"/>
      <c r="D156" s="38"/>
      <c r="E156" s="38"/>
      <c r="F156" s="38"/>
      <c r="G156" s="38"/>
      <c r="H156" s="40"/>
    </row>
    <row r="157" spans="1:8">
      <c r="A157" s="31" t="s">
        <v>266</v>
      </c>
      <c r="C157" s="38"/>
      <c r="D157" s="38"/>
      <c r="E157" s="38"/>
      <c r="F157" s="38"/>
      <c r="G157" s="38"/>
      <c r="H157" s="40"/>
    </row>
    <row r="158" spans="1:8">
      <c r="A158" s="31" t="s">
        <v>73</v>
      </c>
      <c r="B158" s="31" t="s">
        <v>74</v>
      </c>
      <c r="C158" s="38">
        <v>750</v>
      </c>
      <c r="D158" s="38">
        <v>2300</v>
      </c>
      <c r="E158" s="38">
        <v>600</v>
      </c>
      <c r="F158" s="38">
        <v>1350</v>
      </c>
      <c r="G158" s="162"/>
      <c r="H158" s="163">
        <f t="shared" ref="H158:H170" si="39">SUM(C158:F158)</f>
        <v>5000</v>
      </c>
    </row>
    <row r="159" spans="1:8">
      <c r="A159" s="31" t="s">
        <v>75</v>
      </c>
      <c r="B159" s="31" t="s">
        <v>154</v>
      </c>
      <c r="C159" s="38">
        <v>2857</v>
      </c>
      <c r="D159" s="38">
        <v>8763</v>
      </c>
      <c r="E159" s="38">
        <v>2286</v>
      </c>
      <c r="F159" s="38">
        <v>5143</v>
      </c>
      <c r="G159" s="38"/>
      <c r="H159" s="163">
        <f t="shared" si="39"/>
        <v>19049</v>
      </c>
    </row>
    <row r="160" spans="1:8">
      <c r="A160" s="31" t="s">
        <v>442</v>
      </c>
      <c r="B160" s="31" t="s">
        <v>97</v>
      </c>
      <c r="C160" s="38"/>
      <c r="D160" s="38"/>
      <c r="E160" s="38"/>
      <c r="F160" s="38"/>
      <c r="G160" s="38"/>
      <c r="H160" s="163">
        <f t="shared" si="39"/>
        <v>0</v>
      </c>
    </row>
    <row r="161" spans="1:8">
      <c r="A161" s="31" t="s">
        <v>443</v>
      </c>
      <c r="B161" s="31" t="s">
        <v>421</v>
      </c>
      <c r="C161" s="38">
        <v>3923</v>
      </c>
      <c r="D161" s="38">
        <v>12029</v>
      </c>
      <c r="E161" s="38">
        <v>3138</v>
      </c>
      <c r="F161" s="38">
        <v>7061</v>
      </c>
      <c r="G161" s="38" t="s">
        <v>426</v>
      </c>
      <c r="H161" s="163">
        <f t="shared" si="39"/>
        <v>26151</v>
      </c>
    </row>
    <row r="162" spans="1:8">
      <c r="A162" s="31" t="s">
        <v>444</v>
      </c>
      <c r="B162" s="31" t="s">
        <v>423</v>
      </c>
      <c r="C162" s="38">
        <v>15590</v>
      </c>
      <c r="D162" s="38">
        <v>125312</v>
      </c>
      <c r="E162" s="38">
        <v>53952</v>
      </c>
      <c r="F162" s="38">
        <v>91160</v>
      </c>
      <c r="G162" s="38"/>
      <c r="H162" s="163">
        <f t="shared" si="39"/>
        <v>286014</v>
      </c>
    </row>
    <row r="163" spans="1:8">
      <c r="A163" s="31" t="s">
        <v>445</v>
      </c>
      <c r="B163" s="31" t="s">
        <v>416</v>
      </c>
      <c r="C163" s="38"/>
      <c r="D163" s="38"/>
      <c r="E163" s="38"/>
      <c r="F163" s="38"/>
      <c r="G163" s="38"/>
      <c r="H163" s="163">
        <f t="shared" si="39"/>
        <v>0</v>
      </c>
    </row>
    <row r="164" spans="1:8">
      <c r="A164" s="31" t="s">
        <v>76</v>
      </c>
      <c r="B164" s="31" t="s">
        <v>155</v>
      </c>
      <c r="C164" s="38"/>
      <c r="D164" s="38"/>
      <c r="E164" s="38"/>
      <c r="F164" s="38"/>
      <c r="G164" s="38"/>
      <c r="H164" s="163">
        <f t="shared" si="39"/>
        <v>0</v>
      </c>
    </row>
    <row r="165" spans="1:8">
      <c r="A165" s="31" t="s">
        <v>79</v>
      </c>
      <c r="B165" s="31" t="s">
        <v>156</v>
      </c>
      <c r="C165" s="38"/>
      <c r="D165" s="38"/>
      <c r="E165" s="38"/>
      <c r="F165" s="38"/>
      <c r="G165" s="38"/>
      <c r="H165" s="163">
        <f t="shared" si="39"/>
        <v>0</v>
      </c>
    </row>
    <row r="166" spans="1:8">
      <c r="A166" s="31" t="s">
        <v>78</v>
      </c>
      <c r="B166" s="31" t="s">
        <v>157</v>
      </c>
      <c r="C166" s="38"/>
      <c r="D166" s="38"/>
      <c r="E166" s="38"/>
      <c r="F166" s="38"/>
      <c r="G166" s="38"/>
      <c r="H166" s="163">
        <f t="shared" si="39"/>
        <v>0</v>
      </c>
    </row>
    <row r="167" spans="1:8">
      <c r="A167" s="31" t="s">
        <v>77</v>
      </c>
      <c r="B167" s="31" t="s">
        <v>158</v>
      </c>
      <c r="C167" s="38"/>
      <c r="D167" s="38"/>
      <c r="E167" s="38"/>
      <c r="F167" s="38"/>
      <c r="G167" s="38"/>
      <c r="H167" s="163">
        <f t="shared" si="39"/>
        <v>0</v>
      </c>
    </row>
    <row r="168" spans="1:8">
      <c r="A168" s="31" t="s">
        <v>80</v>
      </c>
      <c r="B168" s="31" t="s">
        <v>159</v>
      </c>
      <c r="C168" s="38"/>
      <c r="D168" s="38"/>
      <c r="E168" s="38"/>
      <c r="F168" s="38"/>
      <c r="G168" s="38"/>
      <c r="H168" s="163">
        <f t="shared" si="39"/>
        <v>0</v>
      </c>
    </row>
    <row r="169" spans="1:8">
      <c r="A169" s="31" t="s">
        <v>81</v>
      </c>
      <c r="B169" s="31" t="s">
        <v>160</v>
      </c>
      <c r="C169" s="38"/>
      <c r="D169" s="38"/>
      <c r="E169" s="38"/>
      <c r="F169" s="38"/>
      <c r="G169" s="38"/>
      <c r="H169" s="163">
        <f t="shared" si="39"/>
        <v>0</v>
      </c>
    </row>
    <row r="170" spans="1:8">
      <c r="A170" s="31" t="s">
        <v>161</v>
      </c>
      <c r="B170" s="31" t="s">
        <v>162</v>
      </c>
      <c r="C170" s="39"/>
      <c r="D170" s="39"/>
      <c r="E170" s="39"/>
      <c r="F170" s="39"/>
      <c r="G170" s="38"/>
      <c r="H170" s="87">
        <f t="shared" si="39"/>
        <v>0</v>
      </c>
    </row>
    <row r="171" spans="1:8">
      <c r="B171" s="31" t="s">
        <v>163</v>
      </c>
      <c r="C171" s="38">
        <f>SUM(C158:C170)</f>
        <v>23120</v>
      </c>
      <c r="D171" s="38">
        <f t="shared" ref="D171:F171" si="40">SUM(D158:D170)</f>
        <v>148404</v>
      </c>
      <c r="E171" s="38">
        <f t="shared" si="40"/>
        <v>59976</v>
      </c>
      <c r="F171" s="38">
        <f t="shared" si="40"/>
        <v>104714</v>
      </c>
      <c r="G171" s="38"/>
      <c r="H171" s="40">
        <f t="shared" ref="H171" si="41">SUM(H158:H170)</f>
        <v>336214</v>
      </c>
    </row>
    <row r="172" spans="1:8">
      <c r="C172" s="38"/>
      <c r="D172" s="38"/>
      <c r="E172" s="38"/>
      <c r="F172" s="38"/>
      <c r="G172" s="38"/>
      <c r="H172" s="40"/>
    </row>
    <row r="173" spans="1:8">
      <c r="A173" s="31" t="s">
        <v>164</v>
      </c>
      <c r="C173" s="38"/>
      <c r="D173" s="38"/>
      <c r="E173" s="38"/>
      <c r="F173" s="38"/>
      <c r="G173" s="38"/>
      <c r="H173" s="40"/>
    </row>
    <row r="174" spans="1:8">
      <c r="A174" s="31" t="s">
        <v>165</v>
      </c>
      <c r="C174" s="38"/>
      <c r="D174" s="38"/>
      <c r="E174" s="38"/>
      <c r="F174" s="38"/>
      <c r="G174" s="38"/>
      <c r="H174" s="40"/>
    </row>
    <row r="175" spans="1:8">
      <c r="A175" s="31" t="s">
        <v>86</v>
      </c>
      <c r="B175" s="31" t="s">
        <v>85</v>
      </c>
      <c r="C175" s="38"/>
      <c r="D175" s="38"/>
      <c r="E175" s="38"/>
      <c r="F175" s="38"/>
      <c r="G175" s="38"/>
      <c r="H175" s="163">
        <f t="shared" ref="H175:H185" si="42">SUM(C175:F175)</f>
        <v>0</v>
      </c>
    </row>
    <row r="176" spans="1:8">
      <c r="A176" s="31" t="s">
        <v>91</v>
      </c>
      <c r="B176" s="31" t="s">
        <v>92</v>
      </c>
      <c r="C176" s="38"/>
      <c r="D176" s="38"/>
      <c r="E176" s="38"/>
      <c r="F176" s="38"/>
      <c r="G176" s="38"/>
      <c r="H176" s="163">
        <f t="shared" si="42"/>
        <v>0</v>
      </c>
    </row>
    <row r="177" spans="1:9">
      <c r="A177" s="31" t="s">
        <v>93</v>
      </c>
      <c r="B177" s="31" t="s">
        <v>94</v>
      </c>
      <c r="C177" s="38"/>
      <c r="D177" s="38"/>
      <c r="E177" s="38"/>
      <c r="F177" s="38"/>
      <c r="G177" s="38"/>
      <c r="H177" s="163">
        <f t="shared" si="42"/>
        <v>0</v>
      </c>
    </row>
    <row r="178" spans="1:9">
      <c r="A178" s="31" t="s">
        <v>95</v>
      </c>
      <c r="B178" s="31" t="s">
        <v>405</v>
      </c>
      <c r="C178" s="38"/>
      <c r="D178" s="38"/>
      <c r="E178" s="38"/>
      <c r="F178" s="38"/>
      <c r="G178" s="38"/>
      <c r="H178" s="163">
        <f t="shared" si="42"/>
        <v>0</v>
      </c>
    </row>
    <row r="179" spans="1:9">
      <c r="A179" s="31" t="s">
        <v>96</v>
      </c>
      <c r="B179" s="31" t="s">
        <v>404</v>
      </c>
      <c r="C179" s="47">
        <v>50000</v>
      </c>
      <c r="D179" s="38">
        <v>35000</v>
      </c>
      <c r="E179" s="38">
        <v>0</v>
      </c>
      <c r="F179" s="38">
        <v>0</v>
      </c>
      <c r="G179" s="38"/>
      <c r="H179" s="163">
        <f t="shared" si="42"/>
        <v>85000</v>
      </c>
    </row>
    <row r="180" spans="1:9">
      <c r="A180" s="31" t="s">
        <v>98</v>
      </c>
      <c r="B180" s="31" t="s">
        <v>99</v>
      </c>
      <c r="C180" s="38"/>
      <c r="D180" s="38"/>
      <c r="E180" s="38"/>
      <c r="F180" s="38"/>
      <c r="G180" s="38"/>
      <c r="H180" s="163">
        <f t="shared" si="42"/>
        <v>0</v>
      </c>
    </row>
    <row r="181" spans="1:9">
      <c r="A181" s="31" t="s">
        <v>100</v>
      </c>
      <c r="B181" s="31" t="s">
        <v>284</v>
      </c>
      <c r="C181" s="38"/>
      <c r="D181" s="38"/>
      <c r="E181" s="38"/>
      <c r="F181" s="38"/>
      <c r="G181" s="38"/>
      <c r="H181" s="163">
        <f t="shared" si="42"/>
        <v>0</v>
      </c>
    </row>
    <row r="182" spans="1:9">
      <c r="A182" s="31" t="s">
        <v>101</v>
      </c>
      <c r="B182" s="31" t="s">
        <v>102</v>
      </c>
      <c r="C182" s="38"/>
      <c r="D182" s="38"/>
      <c r="E182" s="38"/>
      <c r="F182" s="38"/>
      <c r="G182" s="38"/>
      <c r="H182" s="163">
        <f t="shared" si="42"/>
        <v>0</v>
      </c>
    </row>
    <row r="183" spans="1:9">
      <c r="A183" s="31" t="s">
        <v>105</v>
      </c>
      <c r="B183" s="31" t="s">
        <v>167</v>
      </c>
      <c r="C183" s="38"/>
      <c r="D183" s="38"/>
      <c r="E183" s="38"/>
      <c r="F183" s="38"/>
      <c r="G183" s="38"/>
      <c r="H183" s="163">
        <f t="shared" si="42"/>
        <v>0</v>
      </c>
    </row>
    <row r="184" spans="1:9">
      <c r="A184" s="31" t="s">
        <v>106</v>
      </c>
      <c r="B184" s="31" t="s">
        <v>107</v>
      </c>
      <c r="C184" s="38">
        <f>+CAMP!C183</f>
        <v>0</v>
      </c>
      <c r="D184" s="38">
        <f>+CAMP!D183</f>
        <v>0</v>
      </c>
      <c r="E184" s="38">
        <f>+CAMP!E183</f>
        <v>0</v>
      </c>
      <c r="F184" s="38">
        <f>+CAMP!F183</f>
        <v>0</v>
      </c>
      <c r="G184" s="38"/>
      <c r="H184" s="163">
        <f t="shared" si="42"/>
        <v>0</v>
      </c>
    </row>
    <row r="185" spans="1:9">
      <c r="A185" s="31" t="s">
        <v>428</v>
      </c>
      <c r="B185" s="31" t="s">
        <v>429</v>
      </c>
      <c r="C185" s="39">
        <f>+CAMP!C185</f>
        <v>0</v>
      </c>
      <c r="D185" s="39">
        <f>+CAMP!D185</f>
        <v>0</v>
      </c>
      <c r="E185" s="39">
        <f>+CAMP!E185</f>
        <v>0</v>
      </c>
      <c r="F185" s="39">
        <f>+CAMP!F185</f>
        <v>0</v>
      </c>
      <c r="G185" s="38"/>
      <c r="H185" s="87">
        <f t="shared" si="42"/>
        <v>0</v>
      </c>
    </row>
    <row r="186" spans="1:9">
      <c r="B186" s="31" t="s">
        <v>168</v>
      </c>
      <c r="C186" s="38">
        <f>SUM(C175:C185)</f>
        <v>50000</v>
      </c>
      <c r="D186" s="38">
        <f t="shared" ref="D186:F186" si="43">SUM(D175:D185)</f>
        <v>35000</v>
      </c>
      <c r="E186" s="38">
        <f t="shared" si="43"/>
        <v>0</v>
      </c>
      <c r="F186" s="38">
        <f t="shared" si="43"/>
        <v>0</v>
      </c>
      <c r="G186" s="38"/>
      <c r="H186" s="40">
        <f>SUM(H175:H185)</f>
        <v>85000</v>
      </c>
    </row>
    <row r="187" spans="1:9">
      <c r="C187" s="38"/>
      <c r="D187" s="38"/>
      <c r="E187" s="38"/>
      <c r="F187" s="38"/>
      <c r="G187" s="38"/>
      <c r="H187" s="40"/>
    </row>
    <row r="188" spans="1:9" s="4" customFormat="1">
      <c r="A188" s="35"/>
      <c r="B188" s="35" t="s">
        <v>169</v>
      </c>
      <c r="C188" s="40">
        <f>+C122+C133+C141+C150+C155+C171+C186</f>
        <v>207041</v>
      </c>
      <c r="D188" s="40">
        <f t="shared" ref="D188:H188" si="44">+D122+D133+D141+D150+D155+D171+D186</f>
        <v>251290</v>
      </c>
      <c r="E188" s="40">
        <f t="shared" si="44"/>
        <v>98633</v>
      </c>
      <c r="F188" s="40">
        <f t="shared" si="44"/>
        <v>158989</v>
      </c>
      <c r="G188" s="40"/>
      <c r="H188" s="40">
        <f t="shared" si="44"/>
        <v>715953</v>
      </c>
      <c r="I188" s="4">
        <f>H188/SUM!B8</f>
        <v>570.48047808764943</v>
      </c>
    </row>
    <row r="189" spans="1:9">
      <c r="C189" s="40"/>
      <c r="D189" s="40"/>
      <c r="E189" s="40"/>
      <c r="F189" s="40"/>
      <c r="G189" s="40"/>
      <c r="H189" s="40"/>
    </row>
    <row r="190" spans="1:9">
      <c r="B190" s="35" t="s">
        <v>435</v>
      </c>
      <c r="C190" s="40">
        <f>SUM(C188+C104)</f>
        <v>272364.08319999999</v>
      </c>
      <c r="D190" s="40">
        <f t="shared" ref="D190:H190" si="45">SUM(D188+D104)</f>
        <v>251290</v>
      </c>
      <c r="E190" s="40">
        <f t="shared" si="45"/>
        <v>98633</v>
      </c>
      <c r="F190" s="40">
        <f t="shared" si="45"/>
        <v>158989</v>
      </c>
      <c r="G190" s="40"/>
      <c r="H190" s="40">
        <f t="shared" si="45"/>
        <v>781276.08319999999</v>
      </c>
    </row>
    <row r="191" spans="1:9" s="4" customFormat="1">
      <c r="A191" s="31"/>
      <c r="B191" s="31"/>
      <c r="C191" s="40"/>
      <c r="D191" s="40"/>
      <c r="E191" s="40"/>
      <c r="F191" s="40"/>
      <c r="G191" s="40"/>
      <c r="H191" s="40"/>
    </row>
    <row r="192" spans="1:9">
      <c r="A192" s="35"/>
      <c r="B192" s="35" t="s">
        <v>170</v>
      </c>
      <c r="C192" s="40">
        <f>SUM(C68-C190)</f>
        <v>-260851.08319999999</v>
      </c>
      <c r="D192" s="40">
        <f t="shared" ref="D192:H192" si="46">SUM(D68-D190)</f>
        <v>-233428</v>
      </c>
      <c r="E192" s="40">
        <f t="shared" si="46"/>
        <v>-84617</v>
      </c>
      <c r="F192" s="40">
        <f t="shared" si="46"/>
        <v>-142352</v>
      </c>
      <c r="G192" s="37"/>
      <c r="H192" s="40">
        <f t="shared" si="46"/>
        <v>-721248.08319999999</v>
      </c>
    </row>
    <row r="194" spans="1:2">
      <c r="A194" s="78"/>
    </row>
    <row r="195" spans="1:2">
      <c r="A195" s="78"/>
    </row>
    <row r="196" spans="1:2">
      <c r="B196" s="26"/>
    </row>
  </sheetData>
  <phoneticPr fontId="5" type="noConversion"/>
  <pageMargins left="0.17" right="0.17" top="1.38" bottom="0.5" header="0.17" footer="0.17"/>
  <pageSetup orientation="portrait"/>
  <headerFooter alignWithMargins="0">
    <oddHeader>&amp;C&amp;"MS Sans Serif,Bold"&amp;18ISL
BUDGET '13-2014
INFORMATION TECHNOLOGY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227"/>
  <sheetViews>
    <sheetView topLeftCell="A31" workbookViewId="0">
      <selection activeCell="F57" sqref="F57"/>
    </sheetView>
  </sheetViews>
  <sheetFormatPr baseColWidth="10" defaultColWidth="8.7109375" defaultRowHeight="12" x14ac:dyDescent="0"/>
  <cols>
    <col min="1" max="1" width="2.28515625" style="3" customWidth="1"/>
    <col min="2" max="2" width="2.42578125" style="3" customWidth="1"/>
    <col min="3" max="3" width="2.7109375" style="3" customWidth="1"/>
    <col min="4" max="4" width="8.7109375" style="3"/>
    <col min="5" max="5" width="1.28515625" style="3" customWidth="1"/>
    <col min="6" max="6" width="11.140625" style="3" customWidth="1"/>
    <col min="7" max="7" width="1.28515625" style="3" customWidth="1"/>
    <col min="8" max="8" width="11.42578125" style="3" customWidth="1"/>
    <col min="9" max="9" width="1" style="3" customWidth="1"/>
    <col min="10" max="10" width="10.28515625" style="3" customWidth="1"/>
    <col min="11" max="11" width="0.85546875" style="3" customWidth="1"/>
    <col min="12" max="16384" width="8.7109375" style="3"/>
  </cols>
  <sheetData>
    <row r="1" spans="1:13">
      <c r="A1" s="3" t="s">
        <v>134</v>
      </c>
    </row>
    <row r="2" spans="1:13">
      <c r="C2" s="3" t="s">
        <v>109</v>
      </c>
    </row>
    <row r="3" spans="1:13">
      <c r="B3" s="3" t="str">
        <f>'STF-SCH'!B3</f>
        <v>Level</v>
      </c>
      <c r="D3" s="3" t="s">
        <v>116</v>
      </c>
      <c r="F3" s="3" t="s">
        <v>112</v>
      </c>
      <c r="H3" s="3" t="s">
        <v>113</v>
      </c>
    </row>
    <row r="4" spans="1:13">
      <c r="C4" s="3">
        <v>1</v>
      </c>
      <c r="D4" s="17">
        <f>72019*0.99</f>
        <v>71298.81</v>
      </c>
      <c r="E4" s="17"/>
      <c r="F4" s="17">
        <f>D4+500</f>
        <v>71798.81</v>
      </c>
      <c r="G4" s="17"/>
      <c r="H4" s="17">
        <f>F4+750</f>
        <v>72548.81</v>
      </c>
      <c r="I4" s="17"/>
      <c r="J4" s="17"/>
      <c r="K4" s="17"/>
      <c r="L4" s="17"/>
      <c r="M4" s="17"/>
    </row>
    <row r="5" spans="1:13">
      <c r="C5" s="3">
        <v>2</v>
      </c>
      <c r="D5" s="17">
        <f t="shared" ref="D5:D13" si="0">D4*1.03</f>
        <v>73437.774300000005</v>
      </c>
      <c r="E5" s="17"/>
      <c r="F5" s="17">
        <f t="shared" ref="F5:F13" si="1">D5*1.03</f>
        <v>75640.907529000004</v>
      </c>
      <c r="G5" s="17"/>
      <c r="H5" s="17">
        <f t="shared" ref="H5:H13" si="2">F5*1.03</f>
        <v>77910.13475487</v>
      </c>
      <c r="I5" s="17"/>
      <c r="J5" s="17"/>
      <c r="K5" s="17"/>
      <c r="L5" s="17"/>
      <c r="M5" s="17"/>
    </row>
    <row r="6" spans="1:13">
      <c r="C6" s="3">
        <v>3</v>
      </c>
      <c r="D6" s="17">
        <f t="shared" si="0"/>
        <v>75640.907529000004</v>
      </c>
      <c r="E6" s="17"/>
      <c r="F6" s="17">
        <f t="shared" si="1"/>
        <v>77910.13475487</v>
      </c>
      <c r="G6" s="17"/>
      <c r="H6" s="17">
        <f t="shared" si="2"/>
        <v>80247.438797516108</v>
      </c>
      <c r="I6" s="17"/>
      <c r="J6" s="17"/>
      <c r="K6" s="17"/>
      <c r="L6" s="17"/>
      <c r="M6" s="17"/>
    </row>
    <row r="7" spans="1:13">
      <c r="C7" s="3">
        <v>4</v>
      </c>
      <c r="D7" s="17">
        <f t="shared" si="0"/>
        <v>77910.13475487</v>
      </c>
      <c r="E7" s="17"/>
      <c r="F7" s="17">
        <f t="shared" si="1"/>
        <v>80247.438797516108</v>
      </c>
      <c r="G7" s="17"/>
      <c r="H7" s="17">
        <f t="shared" si="2"/>
        <v>82654.861961441595</v>
      </c>
      <c r="I7" s="17"/>
      <c r="J7" s="17"/>
      <c r="K7" s="17"/>
      <c r="L7" s="17"/>
      <c r="M7" s="17"/>
    </row>
    <row r="8" spans="1:13">
      <c r="C8" s="3">
        <v>5</v>
      </c>
      <c r="D8" s="17">
        <f t="shared" si="0"/>
        <v>80247.438797516108</v>
      </c>
      <c r="E8" s="17"/>
      <c r="F8" s="17">
        <f t="shared" si="1"/>
        <v>82654.861961441595</v>
      </c>
      <c r="G8" s="17"/>
      <c r="H8" s="17">
        <f t="shared" si="2"/>
        <v>85134.507820284838</v>
      </c>
      <c r="I8" s="17"/>
      <c r="J8" s="17"/>
      <c r="K8" s="17"/>
      <c r="L8" s="17"/>
      <c r="M8" s="17"/>
    </row>
    <row r="9" spans="1:13">
      <c r="C9" s="3">
        <v>6</v>
      </c>
      <c r="D9" s="17">
        <f t="shared" si="0"/>
        <v>82654.861961441595</v>
      </c>
      <c r="E9" s="17"/>
      <c r="F9" s="17">
        <f t="shared" si="1"/>
        <v>85134.507820284838</v>
      </c>
      <c r="G9" s="17"/>
      <c r="H9" s="17">
        <f t="shared" si="2"/>
        <v>87688.54305489338</v>
      </c>
      <c r="I9" s="17"/>
      <c r="J9" s="17"/>
      <c r="K9" s="17"/>
      <c r="L9" s="17"/>
      <c r="M9" s="17"/>
    </row>
    <row r="10" spans="1:13">
      <c r="C10" s="3">
        <v>7</v>
      </c>
      <c r="D10" s="17">
        <f t="shared" si="0"/>
        <v>85134.507820284838</v>
      </c>
      <c r="E10" s="17"/>
      <c r="F10" s="17">
        <f t="shared" si="1"/>
        <v>87688.54305489338</v>
      </c>
      <c r="G10" s="17"/>
      <c r="H10" s="17">
        <f t="shared" si="2"/>
        <v>90319.19934654019</v>
      </c>
      <c r="I10" s="17"/>
      <c r="J10" s="17"/>
      <c r="K10" s="17"/>
      <c r="L10" s="17"/>
      <c r="M10" s="17"/>
    </row>
    <row r="11" spans="1:13">
      <c r="C11" s="3">
        <v>8</v>
      </c>
      <c r="D11" s="17">
        <f t="shared" si="0"/>
        <v>87688.54305489338</v>
      </c>
      <c r="E11" s="17"/>
      <c r="F11" s="17">
        <f t="shared" si="1"/>
        <v>90319.19934654019</v>
      </c>
      <c r="G11" s="17"/>
      <c r="H11" s="17">
        <f t="shared" si="2"/>
        <v>93028.775326936404</v>
      </c>
      <c r="I11" s="17"/>
      <c r="J11" s="17"/>
      <c r="K11" s="17"/>
      <c r="L11" s="17"/>
      <c r="M11" s="17"/>
    </row>
    <row r="12" spans="1:13">
      <c r="C12" s="3">
        <v>9</v>
      </c>
      <c r="D12" s="17">
        <f t="shared" si="0"/>
        <v>90319.19934654019</v>
      </c>
      <c r="E12" s="17"/>
      <c r="F12" s="17">
        <f t="shared" si="1"/>
        <v>93028.775326936404</v>
      </c>
      <c r="G12" s="17"/>
      <c r="H12" s="17">
        <f t="shared" si="2"/>
        <v>95819.638586744491</v>
      </c>
      <c r="I12" s="17"/>
      <c r="J12" s="17"/>
      <c r="K12" s="17"/>
      <c r="L12" s="17"/>
      <c r="M12" s="17"/>
    </row>
    <row r="13" spans="1:13">
      <c r="C13" s="3">
        <v>10</v>
      </c>
      <c r="D13" s="17">
        <f t="shared" si="0"/>
        <v>93028.775326936404</v>
      </c>
      <c r="E13" s="17"/>
      <c r="F13" s="17">
        <f t="shared" si="1"/>
        <v>95819.638586744491</v>
      </c>
      <c r="G13" s="17"/>
      <c r="H13" s="17">
        <f t="shared" si="2"/>
        <v>98694.227744346834</v>
      </c>
      <c r="I13" s="17"/>
      <c r="J13" s="17"/>
      <c r="K13" s="17"/>
      <c r="L13" s="17"/>
      <c r="M13" s="17"/>
    </row>
    <row r="14" spans="1:13"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>
      <c r="A16" s="3" t="s">
        <v>135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13">
      <c r="C17" s="3" t="s">
        <v>109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3">
      <c r="B18" s="3" t="str">
        <f>B3</f>
        <v>Level</v>
      </c>
      <c r="D18" s="17" t="s">
        <v>116</v>
      </c>
      <c r="E18" s="17"/>
      <c r="F18" s="17" t="s">
        <v>112</v>
      </c>
      <c r="G18" s="17"/>
      <c r="H18" s="17" t="s">
        <v>113</v>
      </c>
      <c r="I18" s="17"/>
      <c r="J18" s="17"/>
      <c r="K18" s="17"/>
      <c r="L18" s="17"/>
      <c r="M18" s="17"/>
    </row>
    <row r="19" spans="2:13">
      <c r="C19" s="3">
        <v>1</v>
      </c>
      <c r="D19" s="17">
        <f>47019*0.99</f>
        <v>46548.81</v>
      </c>
      <c r="E19" s="17"/>
      <c r="F19" s="17">
        <f>D19+500</f>
        <v>47048.81</v>
      </c>
      <c r="G19" s="17"/>
      <c r="H19" s="17">
        <f>F19+750</f>
        <v>47798.81</v>
      </c>
      <c r="I19" s="17"/>
      <c r="J19" s="17"/>
      <c r="K19" s="17"/>
      <c r="L19" s="17"/>
      <c r="M19" s="17"/>
    </row>
    <row r="20" spans="2:13">
      <c r="C20" s="3">
        <v>2</v>
      </c>
      <c r="D20" s="17">
        <f t="shared" ref="D20:D34" si="3">D19*1.03</f>
        <v>47945.274299999997</v>
      </c>
      <c r="E20" s="17"/>
      <c r="F20" s="17">
        <f t="shared" ref="F20:F28" si="4">D20*1.03</f>
        <v>49383.632528999995</v>
      </c>
      <c r="G20" s="17"/>
      <c r="H20" s="17">
        <f t="shared" ref="H20:H28" si="5">F20*1.03</f>
        <v>50865.141504869993</v>
      </c>
      <c r="I20" s="17"/>
      <c r="J20" s="17"/>
      <c r="K20" s="17"/>
      <c r="L20" s="17"/>
      <c r="M20" s="17"/>
    </row>
    <row r="21" spans="2:13">
      <c r="C21" s="3">
        <v>3</v>
      </c>
      <c r="D21" s="17">
        <f t="shared" si="3"/>
        <v>49383.632528999995</v>
      </c>
      <c r="E21" s="17"/>
      <c r="F21" s="17">
        <f t="shared" si="4"/>
        <v>50865.141504869993</v>
      </c>
      <c r="G21" s="17"/>
      <c r="H21" s="17">
        <f t="shared" si="5"/>
        <v>52391.095750016095</v>
      </c>
      <c r="I21" s="17"/>
      <c r="J21" s="17"/>
      <c r="K21" s="17"/>
      <c r="L21" s="17"/>
      <c r="M21" s="17"/>
    </row>
    <row r="22" spans="2:13">
      <c r="C22" s="3">
        <v>4</v>
      </c>
      <c r="D22" s="17">
        <f t="shared" si="3"/>
        <v>50865.141504869993</v>
      </c>
      <c r="E22" s="17"/>
      <c r="F22" s="17">
        <f t="shared" si="4"/>
        <v>52391.095750016095</v>
      </c>
      <c r="G22" s="17"/>
      <c r="H22" s="17">
        <f t="shared" si="5"/>
        <v>53962.828622516579</v>
      </c>
      <c r="I22" s="17"/>
      <c r="J22" s="17"/>
      <c r="K22" s="17"/>
      <c r="L22" s="17"/>
      <c r="M22" s="17"/>
    </row>
    <row r="23" spans="2:13">
      <c r="C23" s="3">
        <v>5</v>
      </c>
      <c r="D23" s="17">
        <f t="shared" si="3"/>
        <v>52391.095750016095</v>
      </c>
      <c r="E23" s="17"/>
      <c r="F23" s="17">
        <f t="shared" si="4"/>
        <v>53962.828622516579</v>
      </c>
      <c r="G23" s="17"/>
      <c r="H23" s="17">
        <f t="shared" si="5"/>
        <v>55581.713481192077</v>
      </c>
      <c r="I23" s="17"/>
      <c r="J23" s="17"/>
      <c r="K23" s="17"/>
      <c r="L23" s="17"/>
      <c r="M23" s="17"/>
    </row>
    <row r="24" spans="2:13">
      <c r="C24" s="3">
        <v>6</v>
      </c>
      <c r="D24" s="17">
        <f t="shared" si="3"/>
        <v>53962.828622516579</v>
      </c>
      <c r="E24" s="17"/>
      <c r="F24" s="17">
        <f t="shared" si="4"/>
        <v>55581.713481192077</v>
      </c>
      <c r="G24" s="17"/>
      <c r="H24" s="17">
        <f t="shared" si="5"/>
        <v>57249.164885627841</v>
      </c>
      <c r="I24" s="17"/>
      <c r="J24" s="17"/>
      <c r="K24" s="17"/>
      <c r="L24" s="17"/>
      <c r="M24" s="17"/>
    </row>
    <row r="25" spans="2:13">
      <c r="C25" s="3">
        <v>7</v>
      </c>
      <c r="D25" s="17">
        <f t="shared" si="3"/>
        <v>55581.713481192077</v>
      </c>
      <c r="E25" s="17"/>
      <c r="F25" s="17">
        <f t="shared" si="4"/>
        <v>57249.164885627841</v>
      </c>
      <c r="G25" s="17"/>
      <c r="H25" s="17">
        <f t="shared" si="5"/>
        <v>58966.639832196677</v>
      </c>
      <c r="I25" s="17"/>
      <c r="J25" s="17"/>
      <c r="K25" s="17"/>
      <c r="L25" s="17"/>
      <c r="M25" s="17"/>
    </row>
    <row r="26" spans="2:13">
      <c r="C26" s="3">
        <v>8</v>
      </c>
      <c r="D26" s="17">
        <f t="shared" si="3"/>
        <v>57249.164885627841</v>
      </c>
      <c r="E26" s="17"/>
      <c r="F26" s="17">
        <f t="shared" si="4"/>
        <v>58966.639832196677</v>
      </c>
      <c r="G26" s="17"/>
      <c r="H26" s="17">
        <f t="shared" si="5"/>
        <v>60735.639027162579</v>
      </c>
      <c r="I26" s="17"/>
      <c r="J26" s="17"/>
      <c r="K26" s="17"/>
      <c r="L26" s="17"/>
      <c r="M26" s="17"/>
    </row>
    <row r="27" spans="2:13">
      <c r="C27" s="3">
        <v>9</v>
      </c>
      <c r="D27" s="17">
        <f t="shared" si="3"/>
        <v>58966.639832196677</v>
      </c>
      <c r="E27" s="17"/>
      <c r="F27" s="17">
        <f t="shared" si="4"/>
        <v>60735.639027162579</v>
      </c>
      <c r="G27" s="17"/>
      <c r="H27" s="17">
        <f t="shared" si="5"/>
        <v>62557.708197977459</v>
      </c>
      <c r="I27" s="17"/>
      <c r="J27" s="17"/>
      <c r="K27" s="17"/>
      <c r="L27" s="17"/>
      <c r="M27" s="17"/>
    </row>
    <row r="28" spans="2:13">
      <c r="C28" s="3">
        <v>10</v>
      </c>
      <c r="D28" s="17">
        <f t="shared" si="3"/>
        <v>60735.639027162579</v>
      </c>
      <c r="E28" s="17"/>
      <c r="F28" s="17">
        <f t="shared" si="4"/>
        <v>62557.708197977459</v>
      </c>
      <c r="G28" s="17"/>
      <c r="H28" s="17">
        <f t="shared" si="5"/>
        <v>64434.439443916788</v>
      </c>
      <c r="I28" s="17"/>
      <c r="J28" s="17"/>
      <c r="K28" s="17"/>
      <c r="L28" s="17"/>
      <c r="M28" s="17"/>
    </row>
    <row r="29" spans="2:13">
      <c r="C29" s="3">
        <v>5</v>
      </c>
      <c r="D29" s="17">
        <f t="shared" si="3"/>
        <v>62557.708197977459</v>
      </c>
      <c r="E29" s="17"/>
      <c r="F29" s="17">
        <f t="shared" ref="F29:F34" si="6">D29*1.03</f>
        <v>64434.439443916788</v>
      </c>
      <c r="G29" s="17"/>
      <c r="H29" s="17">
        <f t="shared" ref="H29:H34" si="7">F29*1.03</f>
        <v>66367.472627234296</v>
      </c>
      <c r="I29" s="17"/>
      <c r="J29" s="17"/>
      <c r="K29" s="17"/>
      <c r="L29" s="17"/>
      <c r="M29" s="17"/>
    </row>
    <row r="30" spans="2:13">
      <c r="C30" s="3">
        <v>6</v>
      </c>
      <c r="D30" s="17">
        <f t="shared" si="3"/>
        <v>64434.439443916788</v>
      </c>
      <c r="E30" s="17"/>
      <c r="F30" s="17">
        <f t="shared" si="6"/>
        <v>66367.472627234296</v>
      </c>
      <c r="G30" s="17"/>
      <c r="H30" s="17">
        <f t="shared" si="7"/>
        <v>68358.49680605132</v>
      </c>
      <c r="I30" s="17"/>
      <c r="J30" s="17"/>
      <c r="K30" s="17"/>
      <c r="L30" s="17"/>
      <c r="M30" s="17"/>
    </row>
    <row r="31" spans="2:13">
      <c r="C31" s="3">
        <v>7</v>
      </c>
      <c r="D31" s="17">
        <f t="shared" si="3"/>
        <v>66367.472627234296</v>
      </c>
      <c r="E31" s="17"/>
      <c r="F31" s="17">
        <f t="shared" si="6"/>
        <v>68358.49680605132</v>
      </c>
      <c r="G31" s="17"/>
      <c r="H31" s="17">
        <f t="shared" si="7"/>
        <v>70409.251710232857</v>
      </c>
      <c r="I31" s="17"/>
      <c r="J31" s="17"/>
      <c r="K31" s="17"/>
      <c r="L31" s="17"/>
      <c r="M31" s="17"/>
    </row>
    <row r="32" spans="2:13">
      <c r="C32" s="3">
        <v>8</v>
      </c>
      <c r="D32" s="17">
        <f t="shared" si="3"/>
        <v>68358.49680605132</v>
      </c>
      <c r="E32" s="17"/>
      <c r="F32" s="17">
        <f t="shared" si="6"/>
        <v>70409.251710232857</v>
      </c>
      <c r="G32" s="17"/>
      <c r="H32" s="17">
        <f t="shared" si="7"/>
        <v>72521.52926153985</v>
      </c>
      <c r="I32" s="17"/>
      <c r="J32" s="17"/>
      <c r="K32" s="17"/>
      <c r="L32" s="17"/>
      <c r="M32" s="17"/>
    </row>
    <row r="33" spans="1:14">
      <c r="C33" s="3">
        <v>9</v>
      </c>
      <c r="D33" s="17">
        <f t="shared" si="3"/>
        <v>70409.251710232857</v>
      </c>
      <c r="E33" s="17"/>
      <c r="F33" s="17">
        <f t="shared" si="6"/>
        <v>72521.52926153985</v>
      </c>
      <c r="G33" s="17"/>
      <c r="H33" s="17">
        <f t="shared" si="7"/>
        <v>74697.175139386047</v>
      </c>
      <c r="I33" s="17"/>
      <c r="J33" s="17"/>
      <c r="K33" s="17"/>
      <c r="L33" s="17"/>
      <c r="M33" s="17"/>
    </row>
    <row r="34" spans="1:14">
      <c r="C34" s="3">
        <v>10</v>
      </c>
      <c r="D34" s="17">
        <f t="shared" si="3"/>
        <v>72521.52926153985</v>
      </c>
      <c r="E34" s="17"/>
      <c r="F34" s="17">
        <f t="shared" si="6"/>
        <v>74697.175139386047</v>
      </c>
      <c r="G34" s="17"/>
      <c r="H34" s="17">
        <f t="shared" si="7"/>
        <v>76938.090393567632</v>
      </c>
      <c r="I34" s="17"/>
      <c r="J34" s="17"/>
      <c r="K34" s="17"/>
      <c r="L34" s="17"/>
      <c r="M34" s="17"/>
    </row>
    <row r="35" spans="1:14"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4"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4">
      <c r="A37" s="3" t="s">
        <v>136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4">
      <c r="C38" s="3" t="s">
        <v>109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4">
      <c r="B39" s="3" t="str">
        <f>B18</f>
        <v>Level</v>
      </c>
      <c r="D39" s="17" t="s">
        <v>115</v>
      </c>
      <c r="E39" s="17"/>
      <c r="F39" s="17" t="s">
        <v>116</v>
      </c>
      <c r="G39" s="17"/>
      <c r="H39" s="17" t="s">
        <v>112</v>
      </c>
      <c r="I39" s="17"/>
      <c r="J39" s="17" t="s">
        <v>113</v>
      </c>
      <c r="K39" s="17"/>
      <c r="L39" s="17" t="s">
        <v>644</v>
      </c>
      <c r="M39" s="17" t="s">
        <v>643</v>
      </c>
      <c r="N39" s="3" t="s">
        <v>116</v>
      </c>
    </row>
    <row r="40" spans="1:14">
      <c r="C40" s="3">
        <v>1</v>
      </c>
      <c r="D40" s="17">
        <f>39770*0.99</f>
        <v>39372.300000000003</v>
      </c>
      <c r="E40" s="17"/>
      <c r="F40" s="17">
        <f t="shared" ref="F40:F54" si="8">D40+1000</f>
        <v>40372.300000000003</v>
      </c>
      <c r="G40" s="17"/>
      <c r="H40" s="17">
        <f t="shared" ref="H40:H54" si="9">F40+500</f>
        <v>40872.300000000003</v>
      </c>
      <c r="I40" s="17"/>
      <c r="J40" s="17">
        <f t="shared" ref="J40:J54" si="10">H40+500</f>
        <v>41372.300000000003</v>
      </c>
      <c r="K40" s="17"/>
      <c r="L40" s="257">
        <f>SUM(H40/D40)-1</f>
        <v>3.8097850519273724E-2</v>
      </c>
      <c r="M40" s="257">
        <f>SUM(J40/D40)-1</f>
        <v>5.0797134025698298E-2</v>
      </c>
      <c r="N40" s="257">
        <f>SUM(F40/D40)-1</f>
        <v>2.5398567012849149E-2</v>
      </c>
    </row>
    <row r="41" spans="1:14">
      <c r="C41" s="3">
        <v>2</v>
      </c>
      <c r="D41" s="17">
        <f t="shared" ref="D41:D59" si="11">D40*1.025</f>
        <v>40356.607499999998</v>
      </c>
      <c r="E41" s="17"/>
      <c r="F41" s="17">
        <f t="shared" si="8"/>
        <v>41356.607499999998</v>
      </c>
      <c r="G41" s="17"/>
      <c r="H41" s="17">
        <f t="shared" si="9"/>
        <v>41856.607499999998</v>
      </c>
      <c r="I41" s="17"/>
      <c r="J41" s="17">
        <f t="shared" si="10"/>
        <v>42356.607499999998</v>
      </c>
      <c r="K41" s="17"/>
      <c r="L41" s="257">
        <f t="shared" ref="L41:L59" si="12">SUM(H41/D41)-1</f>
        <v>3.7168634652950061E-2</v>
      </c>
      <c r="M41" s="257">
        <f t="shared" ref="M41:M59" si="13">SUM(J41/D41)-1</f>
        <v>4.95581795372666E-2</v>
      </c>
      <c r="N41" s="257">
        <f t="shared" ref="N41:N59" si="14">SUM(F41/D41)-1</f>
        <v>2.47790897686333E-2</v>
      </c>
    </row>
    <row r="42" spans="1:14">
      <c r="C42" s="3">
        <v>3</v>
      </c>
      <c r="D42" s="17">
        <f t="shared" si="11"/>
        <v>41365.522687499993</v>
      </c>
      <c r="E42" s="17"/>
      <c r="F42" s="17">
        <f t="shared" si="8"/>
        <v>42365.522687499993</v>
      </c>
      <c r="G42" s="17"/>
      <c r="H42" s="17">
        <f t="shared" si="9"/>
        <v>42865.522687499993</v>
      </c>
      <c r="I42" s="17"/>
      <c r="J42" s="17">
        <f t="shared" si="10"/>
        <v>43365.522687499993</v>
      </c>
      <c r="K42" s="17"/>
      <c r="L42" s="257">
        <f t="shared" si="12"/>
        <v>3.6262082588243816E-2</v>
      </c>
      <c r="M42" s="257">
        <f t="shared" si="13"/>
        <v>4.8349443450991902E-2</v>
      </c>
      <c r="N42" s="257">
        <f t="shared" si="14"/>
        <v>2.4174721725495951E-2</v>
      </c>
    </row>
    <row r="43" spans="1:14">
      <c r="C43" s="3">
        <v>4</v>
      </c>
      <c r="D43" s="17">
        <f t="shared" si="11"/>
        <v>42399.660754687487</v>
      </c>
      <c r="E43" s="17"/>
      <c r="F43" s="17">
        <f t="shared" si="8"/>
        <v>43399.660754687487</v>
      </c>
      <c r="G43" s="17"/>
      <c r="H43" s="17">
        <f t="shared" si="9"/>
        <v>43899.660754687487</v>
      </c>
      <c r="I43" s="17"/>
      <c r="J43" s="17">
        <f t="shared" si="10"/>
        <v>44399.660754687487</v>
      </c>
      <c r="K43" s="17"/>
      <c r="L43" s="257">
        <f t="shared" si="12"/>
        <v>3.5377641549506178E-2</v>
      </c>
      <c r="M43" s="257">
        <f t="shared" si="13"/>
        <v>4.7170188732674978E-2</v>
      </c>
      <c r="N43" s="257">
        <f t="shared" si="14"/>
        <v>2.3585094366337378E-2</v>
      </c>
    </row>
    <row r="44" spans="1:14">
      <c r="C44" s="3">
        <v>5</v>
      </c>
      <c r="D44" s="17">
        <f t="shared" si="11"/>
        <v>43459.652273554668</v>
      </c>
      <c r="E44" s="17"/>
      <c r="F44" s="17">
        <f t="shared" si="8"/>
        <v>44459.652273554668</v>
      </c>
      <c r="G44" s="17"/>
      <c r="H44" s="17">
        <f t="shared" si="9"/>
        <v>44959.652273554668</v>
      </c>
      <c r="I44" s="17"/>
      <c r="J44" s="17">
        <f t="shared" si="10"/>
        <v>45459.652273554668</v>
      </c>
      <c r="K44" s="17"/>
      <c r="L44" s="257">
        <f t="shared" si="12"/>
        <v>3.4514772243420699E-2</v>
      </c>
      <c r="M44" s="257">
        <f t="shared" si="13"/>
        <v>4.6019696324560933E-2</v>
      </c>
      <c r="N44" s="257">
        <f t="shared" si="14"/>
        <v>2.3009848162280466E-2</v>
      </c>
    </row>
    <row r="45" spans="1:14">
      <c r="C45" s="3">
        <v>6</v>
      </c>
      <c r="D45" s="17">
        <f t="shared" si="11"/>
        <v>44546.143580393531</v>
      </c>
      <c r="E45" s="17"/>
      <c r="F45" s="17">
        <f t="shared" ref="F45:F49" si="15">D45+1000</f>
        <v>45546.143580393531</v>
      </c>
      <c r="G45" s="17"/>
      <c r="H45" s="17">
        <f t="shared" ref="H45:H49" si="16">F45+500</f>
        <v>46046.143580393531</v>
      </c>
      <c r="I45" s="17"/>
      <c r="J45" s="17">
        <f t="shared" ref="J45:J49" si="17">H45+500</f>
        <v>46546.143580393531</v>
      </c>
      <c r="K45" s="17"/>
      <c r="L45" s="257">
        <f t="shared" si="12"/>
        <v>3.3672948530166558E-2</v>
      </c>
      <c r="M45" s="257">
        <f t="shared" si="13"/>
        <v>4.4897264706888818E-2</v>
      </c>
      <c r="N45" s="257">
        <f t="shared" si="14"/>
        <v>2.2448632353444298E-2</v>
      </c>
    </row>
    <row r="46" spans="1:14">
      <c r="C46" s="3">
        <v>7</v>
      </c>
      <c r="D46" s="17">
        <f t="shared" si="11"/>
        <v>45659.797169903366</v>
      </c>
      <c r="E46" s="17"/>
      <c r="F46" s="17">
        <f t="shared" si="15"/>
        <v>46659.797169903366</v>
      </c>
      <c r="G46" s="17"/>
      <c r="H46" s="17">
        <f t="shared" si="16"/>
        <v>47159.797169903366</v>
      </c>
      <c r="I46" s="17"/>
      <c r="J46" s="17">
        <f t="shared" si="17"/>
        <v>47659.797169903366</v>
      </c>
      <c r="K46" s="17"/>
      <c r="L46" s="257">
        <f t="shared" si="12"/>
        <v>3.2851657102601406E-2</v>
      </c>
      <c r="M46" s="257">
        <f t="shared" si="13"/>
        <v>4.3802209470135356E-2</v>
      </c>
      <c r="N46" s="257">
        <f t="shared" si="14"/>
        <v>2.1901104735067678E-2</v>
      </c>
    </row>
    <row r="47" spans="1:14">
      <c r="C47" s="3">
        <v>8</v>
      </c>
      <c r="D47" s="17">
        <f t="shared" si="11"/>
        <v>46801.292099150945</v>
      </c>
      <c r="E47" s="17"/>
      <c r="F47" s="17">
        <f t="shared" si="15"/>
        <v>47801.292099150945</v>
      </c>
      <c r="G47" s="17"/>
      <c r="H47" s="17">
        <f t="shared" si="16"/>
        <v>48301.292099150945</v>
      </c>
      <c r="I47" s="17"/>
      <c r="J47" s="17">
        <f t="shared" si="17"/>
        <v>48801.292099150945</v>
      </c>
      <c r="K47" s="17"/>
      <c r="L47" s="257">
        <f t="shared" si="12"/>
        <v>3.205039717326974E-2</v>
      </c>
      <c r="M47" s="257">
        <f t="shared" si="13"/>
        <v>4.2733862897692987E-2</v>
      </c>
      <c r="N47" s="257">
        <f t="shared" si="14"/>
        <v>2.1366931448846493E-2</v>
      </c>
    </row>
    <row r="48" spans="1:14">
      <c r="C48" s="3">
        <v>9</v>
      </c>
      <c r="D48" s="17">
        <f t="shared" si="11"/>
        <v>47971.324401629718</v>
      </c>
      <c r="E48" s="17"/>
      <c r="F48" s="17">
        <f t="shared" si="15"/>
        <v>48971.324401629718</v>
      </c>
      <c r="G48" s="17"/>
      <c r="H48" s="17">
        <f t="shared" si="16"/>
        <v>49471.324401629718</v>
      </c>
      <c r="I48" s="17"/>
      <c r="J48" s="17">
        <f t="shared" si="17"/>
        <v>49971.324401629718</v>
      </c>
      <c r="K48" s="17"/>
      <c r="L48" s="257">
        <f t="shared" si="12"/>
        <v>3.1268680169043606E-2</v>
      </c>
      <c r="M48" s="257">
        <f t="shared" si="13"/>
        <v>4.1691573558724881E-2</v>
      </c>
      <c r="N48" s="257">
        <f t="shared" si="14"/>
        <v>2.0845786779362552E-2</v>
      </c>
    </row>
    <row r="49" spans="1:14">
      <c r="C49" s="3">
        <v>10</v>
      </c>
      <c r="D49" s="17">
        <f t="shared" si="11"/>
        <v>49170.60751167046</v>
      </c>
      <c r="E49" s="17"/>
      <c r="F49" s="17">
        <f t="shared" si="15"/>
        <v>50170.60751167046</v>
      </c>
      <c r="G49" s="17"/>
      <c r="H49" s="17">
        <f t="shared" si="16"/>
        <v>50670.60751167046</v>
      </c>
      <c r="I49" s="17"/>
      <c r="J49" s="17">
        <f t="shared" si="17"/>
        <v>51170.60751167046</v>
      </c>
      <c r="K49" s="17"/>
      <c r="L49" s="257">
        <f t="shared" si="12"/>
        <v>3.0506029433213344E-2</v>
      </c>
      <c r="M49" s="257">
        <f t="shared" si="13"/>
        <v>4.0674705910951126E-2</v>
      </c>
      <c r="N49" s="257">
        <f t="shared" si="14"/>
        <v>2.0337352955475563E-2</v>
      </c>
    </row>
    <row r="50" spans="1:14">
      <c r="C50" s="3">
        <v>11</v>
      </c>
      <c r="D50" s="17">
        <f t="shared" si="11"/>
        <v>50399.872699462219</v>
      </c>
      <c r="E50" s="17"/>
      <c r="F50" s="17">
        <f t="shared" si="8"/>
        <v>51399.872699462219</v>
      </c>
      <c r="G50" s="17"/>
      <c r="H50" s="17">
        <f t="shared" si="9"/>
        <v>51899.872699462219</v>
      </c>
      <c r="I50" s="17"/>
      <c r="J50" s="17">
        <f t="shared" si="10"/>
        <v>52399.872699462219</v>
      </c>
      <c r="K50" s="17"/>
      <c r="L50" s="257">
        <f t="shared" si="12"/>
        <v>2.9761979934842309E-2</v>
      </c>
      <c r="M50" s="257">
        <f t="shared" si="13"/>
        <v>3.9682639913123152E-2</v>
      </c>
      <c r="N50" s="257">
        <f t="shared" si="14"/>
        <v>1.9841319956561465E-2</v>
      </c>
    </row>
    <row r="51" spans="1:14">
      <c r="C51" s="3">
        <v>12</v>
      </c>
      <c r="D51" s="17">
        <f t="shared" si="11"/>
        <v>51659.869516948769</v>
      </c>
      <c r="E51" s="17"/>
      <c r="F51" s="17">
        <f t="shared" si="8"/>
        <v>52659.869516948769</v>
      </c>
      <c r="G51" s="17"/>
      <c r="H51" s="17">
        <f t="shared" si="9"/>
        <v>53159.869516948769</v>
      </c>
      <c r="I51" s="17"/>
      <c r="J51" s="17">
        <f t="shared" si="10"/>
        <v>53659.869516948769</v>
      </c>
      <c r="K51" s="17"/>
      <c r="L51" s="257">
        <f t="shared" si="12"/>
        <v>2.9036077985211906E-2</v>
      </c>
      <c r="M51" s="257">
        <f t="shared" si="13"/>
        <v>3.8714770646949281E-2</v>
      </c>
      <c r="N51" s="257">
        <f t="shared" si="14"/>
        <v>1.9357385323474752E-2</v>
      </c>
    </row>
    <row r="52" spans="1:14">
      <c r="C52" s="3">
        <v>13</v>
      </c>
      <c r="D52" s="17">
        <f t="shared" si="11"/>
        <v>52951.366254872482</v>
      </c>
      <c r="E52" s="17"/>
      <c r="F52" s="17">
        <f t="shared" si="8"/>
        <v>53951.366254872482</v>
      </c>
      <c r="G52" s="17"/>
      <c r="H52" s="17">
        <f t="shared" si="9"/>
        <v>54451.366254872482</v>
      </c>
      <c r="I52" s="17"/>
      <c r="J52" s="17">
        <f t="shared" si="10"/>
        <v>54951.366254872482</v>
      </c>
      <c r="K52" s="17"/>
      <c r="L52" s="257">
        <f t="shared" si="12"/>
        <v>2.8327880961182439E-2</v>
      </c>
      <c r="M52" s="257">
        <f t="shared" si="13"/>
        <v>3.7770507948243326E-2</v>
      </c>
      <c r="N52" s="257">
        <f t="shared" si="14"/>
        <v>1.8885253974121552E-2</v>
      </c>
    </row>
    <row r="53" spans="1:14">
      <c r="C53" s="3">
        <v>14</v>
      </c>
      <c r="D53" s="17">
        <f t="shared" si="11"/>
        <v>54275.150411244293</v>
      </c>
      <c r="E53" s="17"/>
      <c r="F53" s="17">
        <f t="shared" si="8"/>
        <v>55275.150411244293</v>
      </c>
      <c r="G53" s="17"/>
      <c r="H53" s="17">
        <f t="shared" si="9"/>
        <v>55775.150411244293</v>
      </c>
      <c r="I53" s="17"/>
      <c r="J53" s="17">
        <f t="shared" si="10"/>
        <v>56275.150411244293</v>
      </c>
      <c r="K53" s="17"/>
      <c r="L53" s="257">
        <f t="shared" si="12"/>
        <v>2.7636957035299892E-2</v>
      </c>
      <c r="M53" s="257">
        <f t="shared" si="13"/>
        <v>3.684927604706667E-2</v>
      </c>
      <c r="N53" s="257">
        <f t="shared" si="14"/>
        <v>1.8424638023533335E-2</v>
      </c>
    </row>
    <row r="54" spans="1:14">
      <c r="C54" s="3">
        <v>15</v>
      </c>
      <c r="D54" s="17">
        <f t="shared" si="11"/>
        <v>55632.029171525392</v>
      </c>
      <c r="E54" s="17"/>
      <c r="F54" s="17">
        <f t="shared" si="8"/>
        <v>56632.029171525392</v>
      </c>
      <c r="G54" s="17"/>
      <c r="H54" s="17">
        <f t="shared" si="9"/>
        <v>57132.029171525392</v>
      </c>
      <c r="I54" s="17"/>
      <c r="J54" s="17">
        <f t="shared" si="10"/>
        <v>57632.029171525392</v>
      </c>
      <c r="K54" s="17"/>
      <c r="L54" s="257">
        <f t="shared" si="12"/>
        <v>2.6962884912487661E-2</v>
      </c>
      <c r="M54" s="257">
        <f t="shared" si="13"/>
        <v>3.5950513216650215E-2</v>
      </c>
      <c r="N54" s="257">
        <f t="shared" si="14"/>
        <v>1.7975256608325108E-2</v>
      </c>
    </row>
    <row r="55" spans="1:14">
      <c r="C55" s="3">
        <v>16</v>
      </c>
      <c r="D55" s="17">
        <f t="shared" si="11"/>
        <v>57022.829900813522</v>
      </c>
      <c r="E55" s="17"/>
      <c r="F55" s="17">
        <f t="shared" ref="F55:F59" si="18">D55+1000</f>
        <v>58022.829900813522</v>
      </c>
      <c r="G55" s="17"/>
      <c r="H55" s="17">
        <f t="shared" ref="H55:H59" si="19">F55+500</f>
        <v>58522.829900813522</v>
      </c>
      <c r="I55" s="17"/>
      <c r="J55" s="17">
        <f t="shared" ref="J55:J59" si="20">H55+500</f>
        <v>59022.829900813522</v>
      </c>
      <c r="K55" s="17"/>
      <c r="L55" s="257">
        <f t="shared" si="12"/>
        <v>2.6305253573158716E-2</v>
      </c>
      <c r="M55" s="257">
        <f t="shared" si="13"/>
        <v>3.5073671430878361E-2</v>
      </c>
      <c r="N55" s="257">
        <f t="shared" si="14"/>
        <v>1.7536835715439292E-2</v>
      </c>
    </row>
    <row r="56" spans="1:14">
      <c r="C56" s="3">
        <v>17</v>
      </c>
      <c r="D56" s="17">
        <f t="shared" si="11"/>
        <v>58448.400648333853</v>
      </c>
      <c r="E56" s="17"/>
      <c r="F56" s="17">
        <f t="shared" si="18"/>
        <v>59448.400648333853</v>
      </c>
      <c r="G56" s="17"/>
      <c r="H56" s="17">
        <f t="shared" si="19"/>
        <v>59948.400648333853</v>
      </c>
      <c r="I56" s="17"/>
      <c r="J56" s="17">
        <f t="shared" si="20"/>
        <v>60448.400648333853</v>
      </c>
      <c r="K56" s="17"/>
      <c r="L56" s="257">
        <f t="shared" si="12"/>
        <v>2.5663662022593847E-2</v>
      </c>
      <c r="M56" s="257">
        <f t="shared" si="13"/>
        <v>3.4218216030125204E-2</v>
      </c>
      <c r="N56" s="257">
        <f t="shared" si="14"/>
        <v>1.7109108015062713E-2</v>
      </c>
    </row>
    <row r="57" spans="1:14">
      <c r="C57" s="3">
        <v>18</v>
      </c>
      <c r="D57" s="17">
        <f t="shared" si="11"/>
        <v>59909.610664542197</v>
      </c>
      <c r="E57" s="17"/>
      <c r="F57" s="17">
        <f t="shared" si="18"/>
        <v>60909.610664542197</v>
      </c>
      <c r="G57" s="17"/>
      <c r="H57" s="17">
        <f t="shared" si="19"/>
        <v>61409.610664542197</v>
      </c>
      <c r="I57" s="17"/>
      <c r="J57" s="17">
        <f t="shared" si="20"/>
        <v>61909.610664542197</v>
      </c>
      <c r="K57" s="17"/>
      <c r="L57" s="257">
        <f t="shared" si="12"/>
        <v>2.5037719046433038E-2</v>
      </c>
      <c r="M57" s="257">
        <f t="shared" si="13"/>
        <v>3.3383625395244199E-2</v>
      </c>
      <c r="N57" s="257">
        <f t="shared" si="14"/>
        <v>1.6691812697622099E-2</v>
      </c>
    </row>
    <row r="58" spans="1:14">
      <c r="C58" s="3">
        <v>19</v>
      </c>
      <c r="D58" s="17">
        <f t="shared" si="11"/>
        <v>61407.35093115575</v>
      </c>
      <c r="E58" s="17"/>
      <c r="F58" s="17">
        <f t="shared" si="18"/>
        <v>62407.35093115575</v>
      </c>
      <c r="G58" s="17"/>
      <c r="H58" s="17">
        <f t="shared" si="19"/>
        <v>62907.35093115575</v>
      </c>
      <c r="I58" s="17"/>
      <c r="J58" s="17">
        <f t="shared" si="20"/>
        <v>63407.35093115575</v>
      </c>
      <c r="K58" s="17"/>
      <c r="L58" s="257">
        <f t="shared" si="12"/>
        <v>2.4427042972129831E-2</v>
      </c>
      <c r="M58" s="257">
        <f t="shared" si="13"/>
        <v>3.2569390629506367E-2</v>
      </c>
      <c r="N58" s="257">
        <f t="shared" si="14"/>
        <v>1.6284695314753295E-2</v>
      </c>
    </row>
    <row r="59" spans="1:14">
      <c r="C59" s="3">
        <v>20</v>
      </c>
      <c r="D59" s="17">
        <f t="shared" si="11"/>
        <v>62942.534704434642</v>
      </c>
      <c r="E59" s="17"/>
      <c r="F59" s="17">
        <f t="shared" si="18"/>
        <v>63942.534704434642</v>
      </c>
      <c r="G59" s="17"/>
      <c r="H59" s="17">
        <f t="shared" si="19"/>
        <v>64442.534704434642</v>
      </c>
      <c r="I59" s="17"/>
      <c r="J59" s="17">
        <f t="shared" si="20"/>
        <v>64942.534704434642</v>
      </c>
      <c r="K59" s="17"/>
      <c r="L59" s="257">
        <f t="shared" si="12"/>
        <v>2.383126143622416E-2</v>
      </c>
      <c r="M59" s="257">
        <f t="shared" si="13"/>
        <v>3.1775015248298955E-2</v>
      </c>
      <c r="N59" s="257">
        <f t="shared" si="14"/>
        <v>1.5887507624149588E-2</v>
      </c>
    </row>
    <row r="60" spans="1:14"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4"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4">
      <c r="A62" s="3" t="s">
        <v>137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>
      <c r="C63" s="3" t="s">
        <v>109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4">
      <c r="B64" s="3" t="s">
        <v>138</v>
      </c>
      <c r="D64" s="17" t="s">
        <v>115</v>
      </c>
      <c r="E64" s="17"/>
      <c r="F64" s="17"/>
      <c r="G64" s="17"/>
      <c r="H64" s="17"/>
      <c r="I64" s="17"/>
      <c r="J64" s="17"/>
      <c r="K64" s="17"/>
      <c r="L64" s="17"/>
      <c r="M64" s="17"/>
    </row>
    <row r="65" spans="1:13">
      <c r="C65" s="3">
        <v>1</v>
      </c>
      <c r="D65" s="17">
        <f>41493+464</f>
        <v>41957</v>
      </c>
      <c r="E65" s="17"/>
      <c r="F65" s="17"/>
      <c r="G65" s="17"/>
      <c r="H65" s="17"/>
      <c r="I65" s="17"/>
      <c r="J65" s="17"/>
      <c r="K65" s="17"/>
      <c r="L65" s="17"/>
      <c r="M65" s="17"/>
    </row>
    <row r="66" spans="1:13">
      <c r="C66" s="3">
        <v>2</v>
      </c>
      <c r="D66" s="17">
        <f>D65+504+70</f>
        <v>42531</v>
      </c>
      <c r="E66" s="17"/>
      <c r="F66" s="17"/>
      <c r="G66" s="17"/>
      <c r="H66" s="17"/>
      <c r="I66" s="17"/>
      <c r="J66" s="17"/>
      <c r="K66" s="17"/>
      <c r="L66" s="17"/>
      <c r="M66" s="17"/>
    </row>
    <row r="67" spans="1:13">
      <c r="C67" s="3">
        <v>3</v>
      </c>
      <c r="D67" s="17">
        <f>D66+310+85</f>
        <v>42926</v>
      </c>
      <c r="E67" s="17"/>
      <c r="F67" s="17"/>
      <c r="G67" s="17"/>
      <c r="H67" s="17"/>
      <c r="I67" s="17"/>
      <c r="J67" s="17"/>
      <c r="K67" s="17"/>
      <c r="L67" s="17"/>
      <c r="M67" s="17"/>
    </row>
    <row r="68" spans="1:13">
      <c r="C68" s="3">
        <v>4</v>
      </c>
      <c r="D68" s="17">
        <f>D67+654-248</f>
        <v>43332</v>
      </c>
      <c r="E68" s="17"/>
      <c r="F68" s="17"/>
      <c r="G68" s="17"/>
      <c r="H68" s="17"/>
      <c r="I68" s="17"/>
      <c r="J68" s="17"/>
      <c r="K68" s="17"/>
      <c r="L68" s="17"/>
      <c r="M68" s="17"/>
    </row>
    <row r="69" spans="1:13">
      <c r="C69" s="3">
        <v>5</v>
      </c>
      <c r="D69" s="17">
        <f>D68+500</f>
        <v>43832</v>
      </c>
      <c r="E69" s="17"/>
      <c r="F69" s="17"/>
      <c r="G69" s="17"/>
      <c r="H69" s="17"/>
      <c r="I69" s="17"/>
      <c r="J69" s="17"/>
      <c r="K69" s="17"/>
      <c r="L69" s="17"/>
      <c r="M69" s="17"/>
    </row>
    <row r="70" spans="1:13">
      <c r="C70" s="3">
        <v>6</v>
      </c>
      <c r="D70" s="17">
        <f>D69+600</f>
        <v>44432</v>
      </c>
      <c r="E70" s="17"/>
      <c r="F70" s="17"/>
      <c r="G70" s="17"/>
      <c r="H70" s="17"/>
      <c r="I70" s="17"/>
      <c r="J70" s="17"/>
      <c r="K70" s="17"/>
      <c r="L70" s="17"/>
      <c r="M70" s="17"/>
    </row>
    <row r="71" spans="1:13">
      <c r="C71" s="3">
        <v>7</v>
      </c>
      <c r="D71" s="17">
        <f>D70+450</f>
        <v>44882</v>
      </c>
      <c r="E71" s="17"/>
      <c r="F71" s="17"/>
      <c r="G71" s="17"/>
      <c r="H71" s="17"/>
      <c r="I71" s="17"/>
      <c r="J71" s="17"/>
      <c r="K71" s="17"/>
      <c r="L71" s="17"/>
      <c r="M71" s="17"/>
    </row>
    <row r="72" spans="1:13">
      <c r="C72" s="3">
        <v>8</v>
      </c>
      <c r="D72" s="17">
        <f>D71+425</f>
        <v>45307</v>
      </c>
      <c r="E72" s="17"/>
      <c r="F72" s="17"/>
      <c r="G72" s="17"/>
      <c r="H72" s="17"/>
      <c r="I72" s="17"/>
      <c r="J72" s="17"/>
      <c r="K72" s="17"/>
      <c r="L72" s="17"/>
      <c r="M72" s="17"/>
    </row>
    <row r="73" spans="1:13">
      <c r="C73" s="3">
        <v>9</v>
      </c>
      <c r="D73" s="17">
        <f>D72+200</f>
        <v>45507</v>
      </c>
      <c r="E73" s="17"/>
      <c r="F73" s="17"/>
      <c r="G73" s="17"/>
      <c r="H73" s="17"/>
      <c r="I73" s="17"/>
      <c r="J73" s="17"/>
      <c r="K73" s="17"/>
      <c r="L73" s="17"/>
      <c r="M73" s="17"/>
    </row>
    <row r="74" spans="1:13">
      <c r="C74" s="3">
        <v>10</v>
      </c>
      <c r="D74" s="17">
        <f>D73+1000</f>
        <v>46507</v>
      </c>
      <c r="E74" s="17"/>
      <c r="F74" s="17"/>
      <c r="G74" s="17"/>
      <c r="H74" s="17"/>
      <c r="I74" s="17"/>
      <c r="J74" s="17"/>
      <c r="K74" s="17"/>
      <c r="L74" s="17"/>
      <c r="M74" s="17"/>
    </row>
    <row r="75" spans="1:13"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>
      <c r="A77" s="3" t="s">
        <v>139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>
      <c r="B79" s="3" t="str">
        <f>B39</f>
        <v>Level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>
      <c r="C80" s="3">
        <v>1</v>
      </c>
      <c r="D80" s="17">
        <f>21420*0.99</f>
        <v>21205.8</v>
      </c>
      <c r="E80" s="17"/>
      <c r="F80" s="17"/>
      <c r="G80" s="17"/>
      <c r="H80" s="17"/>
      <c r="I80" s="17"/>
      <c r="J80" s="17"/>
      <c r="K80" s="17"/>
      <c r="L80" s="17"/>
      <c r="M80" s="17"/>
    </row>
    <row r="81" spans="3:13">
      <c r="C81" s="3">
        <v>2</v>
      </c>
      <c r="D81" s="17">
        <f t="shared" ref="D81:D89" si="21">+D80*1.03</f>
        <v>21841.973999999998</v>
      </c>
      <c r="E81" s="17"/>
      <c r="F81" s="17"/>
      <c r="G81" s="17"/>
      <c r="H81" s="17"/>
      <c r="I81" s="17"/>
      <c r="J81" s="17"/>
      <c r="K81" s="17"/>
      <c r="L81" s="17"/>
      <c r="M81" s="17"/>
    </row>
    <row r="82" spans="3:13">
      <c r="C82" s="3">
        <v>3</v>
      </c>
      <c r="D82" s="17">
        <f t="shared" si="21"/>
        <v>22497.233219999998</v>
      </c>
      <c r="E82" s="17"/>
      <c r="F82" s="17"/>
      <c r="G82" s="17"/>
      <c r="H82" s="17"/>
      <c r="I82" s="17"/>
      <c r="J82" s="17"/>
      <c r="K82" s="17"/>
      <c r="L82" s="17"/>
      <c r="M82" s="17"/>
    </row>
    <row r="83" spans="3:13">
      <c r="C83" s="3">
        <v>4</v>
      </c>
      <c r="D83" s="17">
        <f t="shared" si="21"/>
        <v>23172.150216599999</v>
      </c>
      <c r="E83" s="17"/>
      <c r="F83" s="17"/>
      <c r="G83" s="17"/>
      <c r="H83" s="17"/>
      <c r="I83" s="17"/>
      <c r="J83" s="17"/>
      <c r="K83" s="17"/>
      <c r="L83" s="17"/>
      <c r="M83" s="17"/>
    </row>
    <row r="84" spans="3:13" s="2" customFormat="1">
      <c r="C84" s="2">
        <v>5</v>
      </c>
      <c r="D84" s="18">
        <f t="shared" si="21"/>
        <v>23867.314723097999</v>
      </c>
      <c r="E84" s="18"/>
      <c r="F84" s="18"/>
      <c r="G84" s="18"/>
      <c r="H84" s="18"/>
      <c r="I84" s="18"/>
      <c r="J84" s="18"/>
      <c r="K84" s="18"/>
      <c r="L84" s="18"/>
      <c r="M84" s="18"/>
    </row>
    <row r="85" spans="3:13">
      <c r="C85" s="3">
        <v>6</v>
      </c>
      <c r="D85" s="17">
        <f t="shared" si="21"/>
        <v>24583.33416479094</v>
      </c>
      <c r="E85" s="17"/>
      <c r="F85" s="17"/>
      <c r="G85" s="17"/>
      <c r="H85" s="17"/>
      <c r="I85" s="17"/>
      <c r="J85" s="17"/>
      <c r="K85" s="17"/>
      <c r="L85" s="17"/>
      <c r="M85" s="17"/>
    </row>
    <row r="86" spans="3:13">
      <c r="C86" s="3">
        <v>7</v>
      </c>
      <c r="D86" s="17">
        <f t="shared" si="21"/>
        <v>25320.834189734669</v>
      </c>
      <c r="E86" s="17"/>
      <c r="F86" s="17"/>
      <c r="G86" s="17"/>
      <c r="H86" s="17"/>
      <c r="I86" s="17"/>
      <c r="J86" s="17"/>
      <c r="K86" s="17"/>
      <c r="L86" s="17"/>
      <c r="M86" s="17"/>
    </row>
    <row r="87" spans="3:13">
      <c r="C87" s="3">
        <v>8</v>
      </c>
      <c r="D87" s="17">
        <f t="shared" si="21"/>
        <v>26080.459215426708</v>
      </c>
      <c r="E87" s="17"/>
      <c r="F87" s="17"/>
      <c r="G87" s="17"/>
      <c r="H87" s="17"/>
      <c r="I87" s="17"/>
      <c r="J87" s="17"/>
      <c r="K87" s="17"/>
      <c r="L87" s="17"/>
      <c r="M87" s="17"/>
    </row>
    <row r="88" spans="3:13">
      <c r="C88" s="3">
        <v>9</v>
      </c>
      <c r="D88" s="17">
        <f t="shared" si="21"/>
        <v>26862.872991889511</v>
      </c>
      <c r="E88" s="17"/>
      <c r="F88" s="17"/>
      <c r="G88" s="17"/>
      <c r="H88" s="17"/>
      <c r="I88" s="17"/>
      <c r="J88" s="17"/>
      <c r="K88" s="17"/>
      <c r="L88" s="17"/>
      <c r="M88" s="17"/>
    </row>
    <row r="89" spans="3:13">
      <c r="C89" s="3">
        <v>10</v>
      </c>
      <c r="D89" s="17">
        <f t="shared" si="21"/>
        <v>27668.759181646197</v>
      </c>
      <c r="E89" s="17"/>
      <c r="F89" s="17"/>
      <c r="G89" s="17"/>
      <c r="H89" s="17"/>
      <c r="I89" s="17"/>
      <c r="J89" s="17"/>
      <c r="K89" s="17"/>
      <c r="L89" s="17"/>
      <c r="M89" s="17"/>
    </row>
    <row r="90" spans="3:13">
      <c r="C90" s="3">
        <v>11</v>
      </c>
      <c r="D90" s="17">
        <f>+D89*1.0275</f>
        <v>28429.65005914147</v>
      </c>
      <c r="E90" s="17"/>
      <c r="F90" s="17"/>
      <c r="G90" s="17"/>
      <c r="H90" s="17"/>
      <c r="I90" s="17"/>
      <c r="J90" s="17"/>
      <c r="K90" s="17"/>
      <c r="L90" s="17"/>
      <c r="M90" s="17"/>
    </row>
    <row r="91" spans="3:13">
      <c r="C91" s="3">
        <v>12</v>
      </c>
      <c r="D91" s="17">
        <f>+D90*1.0275</f>
        <v>29211.465435767863</v>
      </c>
      <c r="E91" s="17"/>
      <c r="F91" s="17"/>
      <c r="G91" s="17"/>
      <c r="H91" s="17"/>
      <c r="I91" s="17"/>
      <c r="J91" s="17"/>
      <c r="K91" s="17"/>
      <c r="L91" s="17"/>
      <c r="M91" s="17"/>
    </row>
    <row r="92" spans="3:13">
      <c r="C92" s="3">
        <v>13</v>
      </c>
      <c r="D92" s="17">
        <f t="shared" ref="D92:D99" si="22">+D91*1.03</f>
        <v>30087.809398840898</v>
      </c>
      <c r="E92" s="17"/>
      <c r="F92" s="17"/>
      <c r="G92" s="17"/>
      <c r="H92" s="17"/>
      <c r="I92" s="17"/>
      <c r="J92" s="17"/>
      <c r="K92" s="17"/>
      <c r="L92" s="17"/>
      <c r="M92" s="17"/>
    </row>
    <row r="93" spans="3:13">
      <c r="C93" s="3">
        <v>14</v>
      </c>
      <c r="D93" s="17">
        <f t="shared" si="22"/>
        <v>30990.443680806125</v>
      </c>
      <c r="E93" s="17"/>
      <c r="F93" s="17"/>
      <c r="G93" s="17"/>
      <c r="H93" s="17"/>
      <c r="I93" s="17"/>
      <c r="J93" s="17"/>
      <c r="K93" s="17"/>
      <c r="L93" s="17"/>
      <c r="M93" s="17"/>
    </row>
    <row r="94" spans="3:13" s="2" customFormat="1">
      <c r="C94" s="3">
        <v>15</v>
      </c>
      <c r="D94" s="18">
        <f t="shared" si="22"/>
        <v>31920.156991230309</v>
      </c>
      <c r="E94" s="18"/>
      <c r="F94" s="18"/>
      <c r="G94" s="18"/>
      <c r="H94" s="18"/>
      <c r="I94" s="18"/>
      <c r="J94" s="18"/>
      <c r="K94" s="18"/>
      <c r="L94" s="18"/>
      <c r="M94" s="18"/>
    </row>
    <row r="95" spans="3:13">
      <c r="C95" s="3">
        <v>16</v>
      </c>
      <c r="D95" s="17">
        <f t="shared" si="22"/>
        <v>32877.761700967218</v>
      </c>
      <c r="E95" s="17"/>
      <c r="F95" s="17"/>
      <c r="G95" s="17"/>
      <c r="H95" s="17"/>
      <c r="I95" s="17"/>
      <c r="J95" s="17"/>
      <c r="K95" s="17"/>
      <c r="L95" s="17"/>
      <c r="M95" s="17"/>
    </row>
    <row r="96" spans="3:13">
      <c r="C96" s="3">
        <v>17</v>
      </c>
      <c r="D96" s="17">
        <f t="shared" si="22"/>
        <v>33864.094551996233</v>
      </c>
      <c r="E96" s="17"/>
      <c r="F96" s="17"/>
      <c r="G96" s="17"/>
      <c r="H96" s="17"/>
      <c r="I96" s="17"/>
      <c r="J96" s="17"/>
      <c r="K96" s="17"/>
      <c r="L96" s="17"/>
      <c r="M96" s="17"/>
    </row>
    <row r="97" spans="1:13">
      <c r="C97" s="3">
        <v>18</v>
      </c>
      <c r="D97" s="17">
        <f t="shared" si="22"/>
        <v>34880.017388556123</v>
      </c>
      <c r="E97" s="17"/>
      <c r="F97" s="17"/>
      <c r="G97" s="17"/>
      <c r="H97" s="17"/>
      <c r="I97" s="17"/>
      <c r="J97" s="17"/>
      <c r="K97" s="17"/>
      <c r="L97" s="17"/>
      <c r="M97" s="17"/>
    </row>
    <row r="98" spans="1:13">
      <c r="C98" s="3">
        <v>19</v>
      </c>
      <c r="D98" s="17">
        <f t="shared" si="22"/>
        <v>35926.417910212811</v>
      </c>
      <c r="E98" s="17"/>
      <c r="F98" s="17"/>
      <c r="G98" s="17"/>
      <c r="H98" s="17"/>
      <c r="I98" s="17"/>
      <c r="J98" s="17"/>
      <c r="K98" s="17"/>
      <c r="L98" s="17"/>
      <c r="M98" s="17"/>
    </row>
    <row r="99" spans="1:13">
      <c r="C99" s="3">
        <v>20</v>
      </c>
      <c r="D99" s="17">
        <f t="shared" si="22"/>
        <v>37004.210447519195</v>
      </c>
      <c r="E99" s="17"/>
      <c r="F99" s="17"/>
      <c r="G99" s="17"/>
      <c r="H99" s="17"/>
      <c r="I99" s="17"/>
      <c r="J99" s="17"/>
      <c r="K99" s="17"/>
      <c r="L99" s="17"/>
      <c r="M99" s="17"/>
    </row>
    <row r="100" spans="1:13">
      <c r="C100" s="3">
        <v>21</v>
      </c>
      <c r="D100" s="17">
        <f>+D99*1.0275</f>
        <v>38021.826234825974</v>
      </c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>
      <c r="C101" s="3">
        <v>22</v>
      </c>
      <c r="D101" s="17">
        <f>+D100*1.0275</f>
        <v>39067.426456283691</v>
      </c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>
      <c r="A103" s="3" t="s">
        <v>140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>
      <c r="C104" s="3" t="s">
        <v>109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>
      <c r="B105" s="3" t="str">
        <f>B79</f>
        <v>Level</v>
      </c>
      <c r="D105" s="17" t="s">
        <v>115</v>
      </c>
      <c r="E105" s="17"/>
      <c r="F105" s="17" t="s">
        <v>116</v>
      </c>
      <c r="G105" s="17"/>
      <c r="H105" s="17" t="s">
        <v>112</v>
      </c>
      <c r="I105" s="17"/>
      <c r="J105" s="17" t="s">
        <v>113</v>
      </c>
      <c r="K105" s="17"/>
      <c r="L105" s="17"/>
      <c r="M105" s="17"/>
    </row>
    <row r="106" spans="1:13">
      <c r="C106" s="3">
        <v>1</v>
      </c>
      <c r="D106" s="17">
        <f>SUM(D40)</f>
        <v>39372.300000000003</v>
      </c>
      <c r="E106" s="17"/>
      <c r="F106" s="17">
        <f>D106+500</f>
        <v>39872.300000000003</v>
      </c>
      <c r="G106" s="17"/>
      <c r="H106" s="17">
        <f>F106+500</f>
        <v>40372.300000000003</v>
      </c>
      <c r="I106" s="17"/>
      <c r="J106" s="17">
        <f>H106+750</f>
        <v>41122.300000000003</v>
      </c>
      <c r="K106" s="17"/>
      <c r="L106" s="17"/>
      <c r="M106" s="17"/>
    </row>
    <row r="107" spans="1:13">
      <c r="C107" s="3">
        <v>2</v>
      </c>
      <c r="D107" s="17">
        <f t="shared" ref="D107:D115" si="23">D106*1.03</f>
        <v>40553.469000000005</v>
      </c>
      <c r="E107" s="17"/>
      <c r="F107" s="17">
        <f t="shared" ref="F107:F115" si="24">F106*1.03</f>
        <v>41068.469000000005</v>
      </c>
      <c r="G107" s="17"/>
      <c r="H107" s="17">
        <f t="shared" ref="H107:H115" si="25">H106*1.03</f>
        <v>41583.469000000005</v>
      </c>
      <c r="I107" s="17"/>
      <c r="J107" s="17">
        <f t="shared" ref="J107:J115" si="26">J106*1.03</f>
        <v>42355.969000000005</v>
      </c>
      <c r="K107" s="17"/>
      <c r="L107" s="17"/>
      <c r="M107" s="17"/>
    </row>
    <row r="108" spans="1:13">
      <c r="C108" s="3">
        <v>3</v>
      </c>
      <c r="D108" s="17">
        <f t="shared" si="23"/>
        <v>41770.073070000006</v>
      </c>
      <c r="E108" s="17"/>
      <c r="F108" s="17">
        <f t="shared" si="24"/>
        <v>42300.523070000003</v>
      </c>
      <c r="G108" s="17"/>
      <c r="H108" s="17">
        <f t="shared" si="25"/>
        <v>42830.973070000007</v>
      </c>
      <c r="I108" s="17"/>
      <c r="J108" s="17">
        <f t="shared" si="26"/>
        <v>43626.648070000003</v>
      </c>
      <c r="K108" s="17"/>
      <c r="L108" s="17"/>
      <c r="M108" s="17"/>
    </row>
    <row r="109" spans="1:13">
      <c r="C109" s="3">
        <v>4</v>
      </c>
      <c r="D109" s="17">
        <f t="shared" si="23"/>
        <v>43023.175262100005</v>
      </c>
      <c r="E109" s="17"/>
      <c r="F109" s="17">
        <f t="shared" si="24"/>
        <v>43569.538762100005</v>
      </c>
      <c r="G109" s="17"/>
      <c r="H109" s="17">
        <f t="shared" si="25"/>
        <v>44115.902262100011</v>
      </c>
      <c r="I109" s="17"/>
      <c r="J109" s="17">
        <f t="shared" si="26"/>
        <v>44935.447512100007</v>
      </c>
      <c r="K109" s="17"/>
      <c r="L109" s="17"/>
      <c r="M109" s="17"/>
    </row>
    <row r="110" spans="1:13">
      <c r="C110" s="3">
        <v>5</v>
      </c>
      <c r="D110" s="17">
        <f t="shared" si="23"/>
        <v>44313.870519963006</v>
      </c>
      <c r="E110" s="17"/>
      <c r="F110" s="17">
        <f t="shared" si="24"/>
        <v>44876.624924963005</v>
      </c>
      <c r="G110" s="17"/>
      <c r="H110" s="17">
        <f t="shared" si="25"/>
        <v>45439.379329963012</v>
      </c>
      <c r="I110" s="17"/>
      <c r="J110" s="17">
        <f t="shared" si="26"/>
        <v>46283.510937463005</v>
      </c>
      <c r="K110" s="17"/>
      <c r="L110" s="17"/>
      <c r="M110" s="17"/>
    </row>
    <row r="111" spans="1:13">
      <c r="C111" s="3">
        <v>6</v>
      </c>
      <c r="D111" s="17">
        <f t="shared" si="23"/>
        <v>45643.286635561897</v>
      </c>
      <c r="E111" s="17"/>
      <c r="F111" s="17">
        <f t="shared" si="24"/>
        <v>46222.923672711899</v>
      </c>
      <c r="G111" s="17"/>
      <c r="H111" s="17">
        <f t="shared" si="25"/>
        <v>46802.560709861908</v>
      </c>
      <c r="I111" s="17"/>
      <c r="J111" s="17">
        <f t="shared" si="26"/>
        <v>47672.016265586899</v>
      </c>
      <c r="K111" s="17"/>
      <c r="L111" s="17"/>
      <c r="M111" s="17"/>
    </row>
    <row r="112" spans="1:13">
      <c r="C112" s="3">
        <v>7</v>
      </c>
      <c r="D112" s="17">
        <f t="shared" si="23"/>
        <v>47012.585234628757</v>
      </c>
      <c r="E112" s="17"/>
      <c r="F112" s="17">
        <f t="shared" si="24"/>
        <v>47609.611382893258</v>
      </c>
      <c r="G112" s="17"/>
      <c r="H112" s="17">
        <f t="shared" si="25"/>
        <v>48206.637531157765</v>
      </c>
      <c r="I112" s="17"/>
      <c r="J112" s="17">
        <f t="shared" si="26"/>
        <v>49102.176753554508</v>
      </c>
      <c r="K112" s="17"/>
      <c r="L112" s="17"/>
      <c r="M112" s="17"/>
    </row>
    <row r="113" spans="1:13">
      <c r="C113" s="3">
        <v>8</v>
      </c>
      <c r="D113" s="17">
        <f t="shared" si="23"/>
        <v>48422.962791667618</v>
      </c>
      <c r="E113" s="17"/>
      <c r="F113" s="17">
        <f t="shared" si="24"/>
        <v>49037.899724380055</v>
      </c>
      <c r="G113" s="17"/>
      <c r="H113" s="17">
        <f t="shared" si="25"/>
        <v>49652.836657092499</v>
      </c>
      <c r="I113" s="17"/>
      <c r="J113" s="17">
        <f t="shared" si="26"/>
        <v>50575.242056161143</v>
      </c>
      <c r="K113" s="17"/>
      <c r="L113" s="17"/>
      <c r="M113" s="17"/>
    </row>
    <row r="114" spans="1:13">
      <c r="C114" s="3">
        <v>9</v>
      </c>
      <c r="D114" s="17">
        <f t="shared" si="23"/>
        <v>49875.651675417648</v>
      </c>
      <c r="E114" s="17"/>
      <c r="F114" s="17">
        <f t="shared" si="24"/>
        <v>50509.036716111455</v>
      </c>
      <c r="G114" s="17"/>
      <c r="H114" s="17">
        <f t="shared" si="25"/>
        <v>51142.421756805277</v>
      </c>
      <c r="I114" s="17"/>
      <c r="J114" s="17">
        <f t="shared" si="26"/>
        <v>52092.499317845977</v>
      </c>
      <c r="K114" s="17"/>
      <c r="L114" s="17"/>
      <c r="M114" s="17"/>
    </row>
    <row r="115" spans="1:13">
      <c r="C115" s="3">
        <v>10</v>
      </c>
      <c r="D115" s="17">
        <f t="shared" si="23"/>
        <v>51371.921225680177</v>
      </c>
      <c r="E115" s="17"/>
      <c r="F115" s="17">
        <f t="shared" si="24"/>
        <v>52024.307817594803</v>
      </c>
      <c r="G115" s="17"/>
      <c r="H115" s="17">
        <f t="shared" si="25"/>
        <v>52676.694409509437</v>
      </c>
      <c r="I115" s="17"/>
      <c r="J115" s="17">
        <f t="shared" si="26"/>
        <v>53655.274297381358</v>
      </c>
      <c r="K115" s="17"/>
      <c r="L115" s="17"/>
      <c r="M115" s="17"/>
    </row>
    <row r="116" spans="1:13"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>
      <c r="A117" s="3" t="s">
        <v>141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>
      <c r="C118" s="3" t="s">
        <v>109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>
      <c r="B119" s="3" t="str">
        <f>B105</f>
        <v>Level</v>
      </c>
      <c r="D119" s="17" t="s">
        <v>142</v>
      </c>
      <c r="E119" s="17"/>
      <c r="F119" s="17" t="s">
        <v>143</v>
      </c>
      <c r="G119" s="17"/>
      <c r="H119" s="17" t="s">
        <v>133</v>
      </c>
      <c r="I119" s="17"/>
      <c r="J119" s="17" t="s">
        <v>112</v>
      </c>
      <c r="K119" s="17"/>
      <c r="L119" s="17" t="s">
        <v>113</v>
      </c>
      <c r="M119" s="17"/>
    </row>
    <row r="120" spans="1:13">
      <c r="C120" s="3">
        <v>1</v>
      </c>
      <c r="D120" s="17">
        <f>SUM(D40-3000)</f>
        <v>36372.300000000003</v>
      </c>
      <c r="E120" s="17"/>
      <c r="F120" s="17">
        <f>SUM(D40+5000)*0.99</f>
        <v>43928.577000000005</v>
      </c>
      <c r="G120" s="17"/>
      <c r="H120" s="17">
        <f>F120+1000</f>
        <v>44928.577000000005</v>
      </c>
      <c r="I120" s="17"/>
      <c r="J120" s="17">
        <f>H120+500</f>
        <v>45428.577000000005</v>
      </c>
      <c r="K120" s="17"/>
      <c r="L120" s="17">
        <f t="shared" ref="L120:L128" si="27">J121</f>
        <v>47603.827339300005</v>
      </c>
      <c r="M120" s="17"/>
    </row>
    <row r="121" spans="1:13">
      <c r="C121" s="3">
        <v>2</v>
      </c>
      <c r="D121" s="17">
        <f>D120+750</f>
        <v>37122.300000000003</v>
      </c>
      <c r="E121" s="17"/>
      <c r="F121" s="17">
        <f t="shared" ref="F121:F129" si="28">F120*1.03</f>
        <v>45246.434310000004</v>
      </c>
      <c r="G121" s="17"/>
      <c r="H121" s="17">
        <f>F121+1500</f>
        <v>46746.434310000004</v>
      </c>
      <c r="I121" s="17"/>
      <c r="J121" s="17">
        <f t="shared" ref="J121:J128" si="29">H122</f>
        <v>47603.827339300005</v>
      </c>
      <c r="K121" s="17"/>
      <c r="L121" s="17">
        <f t="shared" si="27"/>
        <v>49442.000424263373</v>
      </c>
      <c r="M121" s="17"/>
    </row>
    <row r="122" spans="1:13">
      <c r="C122" s="3">
        <v>3</v>
      </c>
      <c r="D122" s="17">
        <f t="shared" ref="D122:D129" si="30">D121+1000</f>
        <v>38122.300000000003</v>
      </c>
      <c r="E122" s="17"/>
      <c r="F122" s="17">
        <f t="shared" si="28"/>
        <v>46603.827339300005</v>
      </c>
      <c r="G122" s="17"/>
      <c r="H122" s="17">
        <f>F122+1000</f>
        <v>47603.827339300005</v>
      </c>
      <c r="I122" s="17"/>
      <c r="J122" s="17">
        <f t="shared" si="29"/>
        <v>49442.000424263373</v>
      </c>
      <c r="K122" s="17"/>
      <c r="L122" s="17">
        <f t="shared" si="27"/>
        <v>50925.260436991273</v>
      </c>
      <c r="M122" s="17"/>
    </row>
    <row r="123" spans="1:13">
      <c r="C123" s="3">
        <v>4</v>
      </c>
      <c r="D123" s="17">
        <f t="shared" si="30"/>
        <v>39122.300000000003</v>
      </c>
      <c r="E123" s="17"/>
      <c r="F123" s="17">
        <f t="shared" si="28"/>
        <v>48001.942159479004</v>
      </c>
      <c r="G123" s="17"/>
      <c r="H123" s="17">
        <f>F123*1.03</f>
        <v>49442.000424263373</v>
      </c>
      <c r="I123" s="17"/>
      <c r="J123" s="17">
        <f t="shared" si="29"/>
        <v>50925.260436991273</v>
      </c>
      <c r="K123" s="17"/>
      <c r="L123" s="17">
        <f t="shared" si="27"/>
        <v>52453.018250101013</v>
      </c>
      <c r="M123" s="17"/>
    </row>
    <row r="124" spans="1:13">
      <c r="C124" s="3">
        <v>5</v>
      </c>
      <c r="D124" s="17">
        <f t="shared" si="30"/>
        <v>40122.300000000003</v>
      </c>
      <c r="E124" s="17"/>
      <c r="F124" s="17">
        <f t="shared" si="28"/>
        <v>49442.000424263373</v>
      </c>
      <c r="G124" s="17"/>
      <c r="H124" s="17">
        <f>F124*1.03</f>
        <v>50925.260436991273</v>
      </c>
      <c r="I124" s="17"/>
      <c r="J124" s="17">
        <f t="shared" si="29"/>
        <v>52453.018250101013</v>
      </c>
      <c r="K124" s="17"/>
      <c r="L124" s="17">
        <f t="shared" si="27"/>
        <v>54026.608797604044</v>
      </c>
      <c r="M124" s="17"/>
    </row>
    <row r="125" spans="1:13">
      <c r="C125" s="3">
        <v>6</v>
      </c>
      <c r="D125" s="17">
        <f t="shared" si="30"/>
        <v>41122.300000000003</v>
      </c>
      <c r="E125" s="17"/>
      <c r="F125" s="17">
        <f t="shared" si="28"/>
        <v>50925.260436991273</v>
      </c>
      <c r="G125" s="17"/>
      <c r="H125" s="17">
        <f>F125*1.03</f>
        <v>52453.018250101013</v>
      </c>
      <c r="I125" s="17"/>
      <c r="J125" s="17">
        <f t="shared" si="29"/>
        <v>54026.608797604044</v>
      </c>
      <c r="K125" s="17"/>
      <c r="L125" s="17">
        <f t="shared" si="27"/>
        <v>55647.407061532169</v>
      </c>
      <c r="M125" s="17"/>
    </row>
    <row r="126" spans="1:13">
      <c r="C126" s="3">
        <v>7</v>
      </c>
      <c r="D126" s="17">
        <f t="shared" si="30"/>
        <v>42122.3</v>
      </c>
      <c r="E126" s="17"/>
      <c r="F126" s="17">
        <f t="shared" si="28"/>
        <v>52453.018250101013</v>
      </c>
      <c r="G126" s="17"/>
      <c r="H126" s="17">
        <f>H125*1.03</f>
        <v>54026.608797604044</v>
      </c>
      <c r="I126" s="17"/>
      <c r="J126" s="17">
        <f t="shared" si="29"/>
        <v>55647.407061532169</v>
      </c>
      <c r="K126" s="17"/>
      <c r="L126" s="17">
        <f t="shared" si="27"/>
        <v>57316.829273378135</v>
      </c>
      <c r="M126" s="17"/>
    </row>
    <row r="127" spans="1:13">
      <c r="C127" s="3">
        <v>8</v>
      </c>
      <c r="D127" s="17">
        <f t="shared" si="30"/>
        <v>43122.3</v>
      </c>
      <c r="E127" s="17"/>
      <c r="F127" s="17">
        <f t="shared" si="28"/>
        <v>54026.608797604044</v>
      </c>
      <c r="G127" s="17"/>
      <c r="H127" s="17">
        <f>H126*1.03</f>
        <v>55647.407061532169</v>
      </c>
      <c r="I127" s="17"/>
      <c r="J127" s="17">
        <f t="shared" si="29"/>
        <v>57316.829273378135</v>
      </c>
      <c r="K127" s="17"/>
      <c r="L127" s="17">
        <f t="shared" si="27"/>
        <v>59036.334151579482</v>
      </c>
      <c r="M127" s="17"/>
    </row>
    <row r="128" spans="1:13">
      <c r="C128" s="3">
        <v>9</v>
      </c>
      <c r="D128" s="17">
        <f t="shared" si="30"/>
        <v>44122.3</v>
      </c>
      <c r="E128" s="17"/>
      <c r="F128" s="17">
        <f t="shared" si="28"/>
        <v>55647.407061532169</v>
      </c>
      <c r="G128" s="17"/>
      <c r="H128" s="17">
        <f>H127*1.03</f>
        <v>57316.829273378135</v>
      </c>
      <c r="I128" s="17"/>
      <c r="J128" s="17">
        <f t="shared" si="29"/>
        <v>59036.334151579482</v>
      </c>
      <c r="K128" s="17"/>
      <c r="L128" s="17">
        <f t="shared" si="27"/>
        <v>60036.334151579482</v>
      </c>
      <c r="M128" s="17"/>
    </row>
    <row r="129" spans="1:13">
      <c r="C129" s="3">
        <v>10</v>
      </c>
      <c r="D129" s="17">
        <f t="shared" si="30"/>
        <v>45122.3</v>
      </c>
      <c r="E129" s="17"/>
      <c r="F129" s="17">
        <f t="shared" si="28"/>
        <v>57316.829273378135</v>
      </c>
      <c r="G129" s="17"/>
      <c r="H129" s="17">
        <f>H128*1.03</f>
        <v>59036.334151579482</v>
      </c>
      <c r="I129" s="17"/>
      <c r="J129" s="17">
        <f>H129+1000</f>
        <v>60036.334151579482</v>
      </c>
      <c r="K129" s="17"/>
      <c r="L129" s="17">
        <f>L128*1.03</f>
        <v>61837.424176126871</v>
      </c>
      <c r="M129" s="17"/>
    </row>
    <row r="130" spans="1:13" s="2" customFormat="1"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>
      <c r="A131" s="3" t="s">
        <v>144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>
      <c r="C132" s="3" t="s">
        <v>109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>
      <c r="B133" s="3" t="str">
        <f>B119</f>
        <v>Level</v>
      </c>
      <c r="D133" s="17" t="s">
        <v>132</v>
      </c>
      <c r="E133" s="17"/>
      <c r="F133" s="17" t="s">
        <v>116</v>
      </c>
      <c r="G133" s="17"/>
      <c r="H133" s="17" t="s">
        <v>112</v>
      </c>
      <c r="I133" s="17"/>
      <c r="J133" s="17"/>
      <c r="K133" s="17"/>
      <c r="L133" s="17"/>
      <c r="M133" s="17"/>
    </row>
    <row r="134" spans="1:13">
      <c r="C134" s="3">
        <v>1</v>
      </c>
      <c r="D134" s="17">
        <f>SUM(F120)</f>
        <v>43928.577000000005</v>
      </c>
      <c r="E134" s="17"/>
      <c r="F134" s="17">
        <f>D134+1000</f>
        <v>44928.577000000005</v>
      </c>
      <c r="G134" s="17"/>
      <c r="H134" s="17">
        <f>F134+500</f>
        <v>45428.577000000005</v>
      </c>
      <c r="I134" s="17"/>
      <c r="J134" s="17"/>
      <c r="K134" s="17"/>
      <c r="L134" s="17"/>
      <c r="M134" s="17"/>
    </row>
    <row r="135" spans="1:13">
      <c r="C135" s="3">
        <v>2</v>
      </c>
      <c r="D135" s="17">
        <f>D134+750</f>
        <v>44678.577000000005</v>
      </c>
      <c r="E135" s="17"/>
      <c r="F135" s="17">
        <f>D135+1500</f>
        <v>46178.577000000005</v>
      </c>
      <c r="G135" s="17"/>
      <c r="H135" s="17">
        <f t="shared" ref="H135:H142" si="31">F136</f>
        <v>46678.577000000005</v>
      </c>
      <c r="I135" s="17"/>
      <c r="J135" s="17"/>
      <c r="K135" s="17"/>
      <c r="L135" s="17"/>
      <c r="M135" s="17"/>
    </row>
    <row r="136" spans="1:13">
      <c r="C136" s="3">
        <v>3</v>
      </c>
      <c r="D136" s="17">
        <f t="shared" ref="D136:D154" si="32">D135+1000</f>
        <v>45678.577000000005</v>
      </c>
      <c r="E136" s="17"/>
      <c r="F136" s="17">
        <f>D136+1000</f>
        <v>46678.577000000005</v>
      </c>
      <c r="G136" s="17"/>
      <c r="H136" s="17">
        <f t="shared" si="31"/>
        <v>48078.934310000004</v>
      </c>
      <c r="I136" s="17"/>
      <c r="J136" s="17"/>
      <c r="K136" s="17"/>
      <c r="L136" s="17"/>
      <c r="M136" s="17"/>
    </row>
    <row r="137" spans="1:13">
      <c r="C137" s="3">
        <v>4</v>
      </c>
      <c r="D137" s="17">
        <f t="shared" si="32"/>
        <v>46678.577000000005</v>
      </c>
      <c r="E137" s="17"/>
      <c r="F137" s="17">
        <f>D137*1.03</f>
        <v>48078.934310000004</v>
      </c>
      <c r="G137" s="17"/>
      <c r="H137" s="17">
        <f t="shared" si="31"/>
        <v>49108.934310000004</v>
      </c>
      <c r="I137" s="17"/>
      <c r="J137" s="17"/>
      <c r="K137" s="17"/>
      <c r="L137" s="17"/>
      <c r="M137" s="17"/>
    </row>
    <row r="138" spans="1:13">
      <c r="C138" s="3">
        <v>5</v>
      </c>
      <c r="D138" s="17">
        <f t="shared" si="32"/>
        <v>47678.577000000005</v>
      </c>
      <c r="E138" s="17"/>
      <c r="F138" s="17">
        <f>D138*1.03</f>
        <v>49108.934310000004</v>
      </c>
      <c r="G138" s="17"/>
      <c r="H138" s="17">
        <f t="shared" si="31"/>
        <v>50138.934310000004</v>
      </c>
      <c r="I138" s="17"/>
      <c r="J138" s="17"/>
      <c r="K138" s="17"/>
      <c r="L138" s="17"/>
      <c r="M138" s="17"/>
    </row>
    <row r="139" spans="1:13">
      <c r="C139" s="3">
        <v>6</v>
      </c>
      <c r="D139" s="17">
        <f t="shared" si="32"/>
        <v>48678.577000000005</v>
      </c>
      <c r="E139" s="17"/>
      <c r="F139" s="17">
        <f>D139*1.03</f>
        <v>50138.934310000004</v>
      </c>
      <c r="G139" s="17"/>
      <c r="H139" s="17">
        <f t="shared" si="31"/>
        <v>51643.102339300007</v>
      </c>
      <c r="I139" s="17"/>
      <c r="J139" s="17"/>
      <c r="K139" s="17"/>
      <c r="L139" s="17"/>
      <c r="M139" s="17"/>
    </row>
    <row r="140" spans="1:13">
      <c r="C140" s="3">
        <v>7</v>
      </c>
      <c r="D140" s="17">
        <f t="shared" si="32"/>
        <v>49678.577000000005</v>
      </c>
      <c r="E140" s="17"/>
      <c r="F140" s="17">
        <f>F139*1.03</f>
        <v>51643.102339300007</v>
      </c>
      <c r="G140" s="17"/>
      <c r="H140" s="17">
        <f t="shared" si="31"/>
        <v>53192.39540947901</v>
      </c>
      <c r="I140" s="17"/>
      <c r="J140" s="17"/>
      <c r="K140" s="17"/>
      <c r="L140" s="17"/>
      <c r="M140" s="17"/>
    </row>
    <row r="141" spans="1:13">
      <c r="C141" s="3">
        <v>8</v>
      </c>
      <c r="D141" s="17">
        <f t="shared" si="32"/>
        <v>50678.577000000005</v>
      </c>
      <c r="E141" s="17"/>
      <c r="F141" s="17">
        <f>F140*1.03</f>
        <v>53192.39540947901</v>
      </c>
      <c r="G141" s="17"/>
      <c r="H141" s="17">
        <f t="shared" si="31"/>
        <v>54788.167271763385</v>
      </c>
      <c r="I141" s="17"/>
      <c r="J141" s="17"/>
      <c r="K141" s="17"/>
      <c r="L141" s="17"/>
      <c r="M141" s="17"/>
    </row>
    <row r="142" spans="1:13">
      <c r="C142" s="3">
        <v>9</v>
      </c>
      <c r="D142" s="17">
        <f t="shared" si="32"/>
        <v>51678.577000000005</v>
      </c>
      <c r="E142" s="17"/>
      <c r="F142" s="17">
        <f>F141*1.03</f>
        <v>54788.167271763385</v>
      </c>
      <c r="G142" s="17"/>
      <c r="H142" s="17">
        <f t="shared" si="31"/>
        <v>56431.812289916284</v>
      </c>
      <c r="I142" s="17"/>
      <c r="J142" s="17"/>
      <c r="K142" s="17"/>
      <c r="L142" s="17"/>
      <c r="M142" s="17"/>
    </row>
    <row r="143" spans="1:13">
      <c r="C143" s="3">
        <v>10</v>
      </c>
      <c r="D143" s="17">
        <f t="shared" si="32"/>
        <v>52678.577000000005</v>
      </c>
      <c r="E143" s="17"/>
      <c r="F143" s="17">
        <f>F142*1.03</f>
        <v>56431.812289916284</v>
      </c>
      <c r="G143" s="17"/>
      <c r="H143" s="17">
        <f>F143+1000</f>
        <v>57431.812289916284</v>
      </c>
      <c r="I143" s="17"/>
      <c r="J143" s="17"/>
      <c r="K143" s="17"/>
      <c r="L143" s="17"/>
      <c r="M143" s="17"/>
    </row>
    <row r="144" spans="1:13">
      <c r="C144" s="3">
        <v>11</v>
      </c>
      <c r="D144" s="17">
        <f t="shared" si="32"/>
        <v>53678.577000000005</v>
      </c>
      <c r="E144" s="17"/>
      <c r="F144" s="17">
        <f t="shared" ref="F144:F154" si="33">F143*1.03</f>
        <v>58124.766658613771</v>
      </c>
      <c r="G144" s="17"/>
      <c r="H144" s="17">
        <f t="shared" ref="H144:H145" si="34">F145</f>
        <v>59868.509658372182</v>
      </c>
      <c r="I144" s="17"/>
      <c r="J144" s="17"/>
      <c r="K144" s="17"/>
      <c r="L144" s="17"/>
      <c r="M144" s="17"/>
    </row>
    <row r="145" spans="1:13">
      <c r="C145" s="3">
        <v>12</v>
      </c>
      <c r="D145" s="17">
        <f t="shared" si="32"/>
        <v>54678.577000000005</v>
      </c>
      <c r="E145" s="17"/>
      <c r="F145" s="17">
        <f t="shared" si="33"/>
        <v>59868.509658372182</v>
      </c>
      <c r="G145" s="17"/>
      <c r="H145" s="17">
        <f t="shared" si="34"/>
        <v>61664.564948123349</v>
      </c>
      <c r="I145" s="17"/>
      <c r="J145" s="17"/>
      <c r="K145" s="17"/>
      <c r="L145" s="17"/>
      <c r="M145" s="17"/>
    </row>
    <row r="146" spans="1:13">
      <c r="C146" s="3">
        <v>13</v>
      </c>
      <c r="D146" s="17">
        <f t="shared" si="32"/>
        <v>55678.577000000005</v>
      </c>
      <c r="E146" s="17"/>
      <c r="F146" s="17">
        <f t="shared" si="33"/>
        <v>61664.564948123349</v>
      </c>
      <c r="G146" s="17"/>
      <c r="H146" s="17">
        <f t="shared" ref="H146" si="35">F146+1000</f>
        <v>62664.564948123349</v>
      </c>
      <c r="I146" s="17"/>
      <c r="J146" s="17"/>
      <c r="K146" s="17"/>
      <c r="L146" s="17"/>
      <c r="M146" s="17"/>
    </row>
    <row r="147" spans="1:13">
      <c r="C147" s="3">
        <v>14</v>
      </c>
      <c r="D147" s="17">
        <f t="shared" si="32"/>
        <v>56678.577000000005</v>
      </c>
      <c r="E147" s="17"/>
      <c r="F147" s="17">
        <f t="shared" si="33"/>
        <v>63514.501896567053</v>
      </c>
      <c r="G147" s="17"/>
      <c r="H147" s="17">
        <f t="shared" ref="H147:H148" si="36">F148</f>
        <v>65419.936953464065</v>
      </c>
      <c r="I147" s="17"/>
      <c r="J147" s="17"/>
      <c r="K147" s="17"/>
      <c r="L147" s="17"/>
      <c r="M147" s="17"/>
    </row>
    <row r="148" spans="1:13">
      <c r="C148" s="3">
        <v>15</v>
      </c>
      <c r="D148" s="17">
        <f t="shared" si="32"/>
        <v>57678.577000000005</v>
      </c>
      <c r="E148" s="17"/>
      <c r="F148" s="17">
        <f t="shared" si="33"/>
        <v>65419.936953464065</v>
      </c>
      <c r="G148" s="17"/>
      <c r="H148" s="17">
        <f t="shared" si="36"/>
        <v>67382.535062067982</v>
      </c>
      <c r="I148" s="17"/>
      <c r="J148" s="17"/>
      <c r="K148" s="17"/>
      <c r="L148" s="17"/>
      <c r="M148" s="17"/>
    </row>
    <row r="149" spans="1:13">
      <c r="C149" s="3">
        <v>16</v>
      </c>
      <c r="D149" s="17">
        <f t="shared" si="32"/>
        <v>58678.577000000005</v>
      </c>
      <c r="E149" s="17"/>
      <c r="F149" s="17">
        <f t="shared" si="33"/>
        <v>67382.535062067982</v>
      </c>
      <c r="G149" s="17"/>
      <c r="H149" s="17">
        <f t="shared" ref="H149" si="37">F149+1000</f>
        <v>68382.535062067982</v>
      </c>
      <c r="I149" s="17"/>
      <c r="J149" s="17"/>
      <c r="K149" s="17"/>
      <c r="L149" s="17"/>
      <c r="M149" s="17"/>
    </row>
    <row r="150" spans="1:13">
      <c r="C150" s="3">
        <v>17</v>
      </c>
      <c r="D150" s="17">
        <f t="shared" si="32"/>
        <v>59678.577000000005</v>
      </c>
      <c r="E150" s="17"/>
      <c r="F150" s="17">
        <f t="shared" si="33"/>
        <v>69404.011113930028</v>
      </c>
      <c r="G150" s="17"/>
      <c r="H150" s="17">
        <f t="shared" ref="H150:H151" si="38">F151</f>
        <v>71486.131447347929</v>
      </c>
      <c r="I150" s="17"/>
      <c r="J150" s="17"/>
      <c r="K150" s="17"/>
      <c r="L150" s="17"/>
      <c r="M150" s="17"/>
    </row>
    <row r="151" spans="1:13">
      <c r="C151" s="3">
        <v>18</v>
      </c>
      <c r="D151" s="17">
        <f t="shared" si="32"/>
        <v>60678.577000000005</v>
      </c>
      <c r="E151" s="17"/>
      <c r="F151" s="17">
        <f t="shared" si="33"/>
        <v>71486.131447347929</v>
      </c>
      <c r="G151" s="17"/>
      <c r="H151" s="17">
        <f t="shared" si="38"/>
        <v>73630.715390768368</v>
      </c>
      <c r="I151" s="17"/>
      <c r="J151" s="17"/>
      <c r="K151" s="17"/>
      <c r="L151" s="17"/>
      <c r="M151" s="17"/>
    </row>
    <row r="152" spans="1:13">
      <c r="C152" s="3">
        <v>19</v>
      </c>
      <c r="D152" s="17">
        <f t="shared" si="32"/>
        <v>61678.577000000005</v>
      </c>
      <c r="E152" s="17"/>
      <c r="F152" s="17">
        <f t="shared" si="33"/>
        <v>73630.715390768368</v>
      </c>
      <c r="G152" s="17"/>
      <c r="H152" s="17">
        <f t="shared" ref="H152" si="39">F152+1000</f>
        <v>74630.715390768368</v>
      </c>
      <c r="I152" s="17"/>
      <c r="J152" s="17"/>
      <c r="K152" s="17"/>
      <c r="L152" s="17"/>
      <c r="M152" s="17"/>
    </row>
    <row r="153" spans="1:13">
      <c r="C153" s="3">
        <v>20</v>
      </c>
      <c r="D153" s="17">
        <f t="shared" si="32"/>
        <v>62678.577000000005</v>
      </c>
      <c r="E153" s="17"/>
      <c r="F153" s="17">
        <f t="shared" si="33"/>
        <v>75839.636852491414</v>
      </c>
      <c r="G153" s="17"/>
      <c r="H153" s="17">
        <f t="shared" ref="H153:H154" si="40">F154</f>
        <v>78114.825958066154</v>
      </c>
      <c r="I153" s="17"/>
      <c r="J153" s="17"/>
      <c r="K153" s="17"/>
      <c r="L153" s="17"/>
      <c r="M153" s="17"/>
    </row>
    <row r="154" spans="1:13">
      <c r="C154" s="3">
        <v>21</v>
      </c>
      <c r="D154" s="17">
        <f t="shared" si="32"/>
        <v>63678.577000000005</v>
      </c>
      <c r="E154" s="17"/>
      <c r="F154" s="17">
        <f t="shared" si="33"/>
        <v>78114.825958066154</v>
      </c>
      <c r="G154" s="17"/>
      <c r="H154" s="17">
        <f t="shared" si="40"/>
        <v>0</v>
      </c>
      <c r="I154" s="17"/>
      <c r="J154" s="17"/>
      <c r="K154" s="17"/>
      <c r="L154" s="17"/>
      <c r="M154" s="17"/>
    </row>
    <row r="155" spans="1:13"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>
      <c r="A156" s="3" t="s">
        <v>145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>
      <c r="C157" s="3" t="s">
        <v>109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>
      <c r="B158" s="3" t="str">
        <f>B133</f>
        <v>Level</v>
      </c>
      <c r="D158" s="17" t="s">
        <v>115</v>
      </c>
      <c r="E158" s="17"/>
      <c r="F158" s="17" t="s">
        <v>116</v>
      </c>
      <c r="G158" s="17"/>
      <c r="H158" s="17" t="s">
        <v>112</v>
      </c>
      <c r="I158" s="17"/>
      <c r="J158" s="17" t="s">
        <v>113</v>
      </c>
      <c r="K158" s="17"/>
      <c r="L158" s="17"/>
      <c r="M158" s="17"/>
    </row>
    <row r="159" spans="1:13">
      <c r="C159" s="3">
        <v>1</v>
      </c>
      <c r="D159" s="17">
        <f>SUM(D134)</f>
        <v>43928.577000000005</v>
      </c>
      <c r="E159" s="17"/>
      <c r="F159" s="17">
        <f>D159+500</f>
        <v>44428.577000000005</v>
      </c>
      <c r="G159" s="17"/>
      <c r="H159" s="17">
        <f t="shared" ref="H159:H168" si="41">F159+500</f>
        <v>44928.577000000005</v>
      </c>
      <c r="I159" s="17"/>
      <c r="J159" s="17">
        <f t="shared" ref="J159:J168" si="42">H159+500</f>
        <v>45428.577000000005</v>
      </c>
      <c r="K159" s="17"/>
      <c r="L159" s="17"/>
      <c r="M159" s="17"/>
    </row>
    <row r="160" spans="1:13">
      <c r="C160" s="3">
        <v>2</v>
      </c>
      <c r="D160" s="17">
        <f>D159+750</f>
        <v>44678.577000000005</v>
      </c>
      <c r="E160" s="17"/>
      <c r="F160" s="17">
        <f>F159+750</f>
        <v>45178.577000000005</v>
      </c>
      <c r="G160" s="17"/>
      <c r="H160" s="17">
        <f t="shared" si="41"/>
        <v>45678.577000000005</v>
      </c>
      <c r="I160" s="17"/>
      <c r="J160" s="17">
        <f t="shared" si="42"/>
        <v>46178.577000000005</v>
      </c>
      <c r="K160" s="17"/>
      <c r="L160" s="17"/>
      <c r="M160" s="17"/>
    </row>
    <row r="161" spans="1:13">
      <c r="C161" s="3">
        <v>3</v>
      </c>
      <c r="D161" s="17">
        <f t="shared" ref="D161:D168" si="43">D160+1000</f>
        <v>45678.577000000005</v>
      </c>
      <c r="E161" s="17"/>
      <c r="F161" s="17">
        <f t="shared" ref="F161:F168" si="44">F160+1000</f>
        <v>46178.577000000005</v>
      </c>
      <c r="G161" s="17"/>
      <c r="H161" s="17">
        <f t="shared" si="41"/>
        <v>46678.577000000005</v>
      </c>
      <c r="I161" s="17"/>
      <c r="J161" s="17">
        <f t="shared" si="42"/>
        <v>47178.577000000005</v>
      </c>
      <c r="K161" s="17"/>
      <c r="L161" s="17"/>
      <c r="M161" s="17"/>
    </row>
    <row r="162" spans="1:13">
      <c r="C162" s="3">
        <v>4</v>
      </c>
      <c r="D162" s="17">
        <f t="shared" si="43"/>
        <v>46678.577000000005</v>
      </c>
      <c r="E162" s="17"/>
      <c r="F162" s="17">
        <f t="shared" si="44"/>
        <v>47178.577000000005</v>
      </c>
      <c r="G162" s="17"/>
      <c r="H162" s="17">
        <f t="shared" si="41"/>
        <v>47678.577000000005</v>
      </c>
      <c r="I162" s="17"/>
      <c r="J162" s="17">
        <f t="shared" si="42"/>
        <v>48178.577000000005</v>
      </c>
      <c r="K162" s="17"/>
      <c r="L162" s="17"/>
      <c r="M162" s="17"/>
    </row>
    <row r="163" spans="1:13">
      <c r="C163" s="3">
        <v>5</v>
      </c>
      <c r="D163" s="17">
        <f t="shared" si="43"/>
        <v>47678.577000000005</v>
      </c>
      <c r="E163" s="17"/>
      <c r="F163" s="17">
        <f t="shared" si="44"/>
        <v>48178.577000000005</v>
      </c>
      <c r="G163" s="17"/>
      <c r="H163" s="17">
        <f t="shared" si="41"/>
        <v>48678.577000000005</v>
      </c>
      <c r="I163" s="17"/>
      <c r="J163" s="17">
        <f t="shared" si="42"/>
        <v>49178.577000000005</v>
      </c>
      <c r="K163" s="17"/>
      <c r="L163" s="17"/>
      <c r="M163" s="17"/>
    </row>
    <row r="164" spans="1:13">
      <c r="C164" s="3">
        <v>6</v>
      </c>
      <c r="D164" s="17">
        <f t="shared" si="43"/>
        <v>48678.577000000005</v>
      </c>
      <c r="E164" s="17"/>
      <c r="F164" s="17">
        <f t="shared" si="44"/>
        <v>49178.577000000005</v>
      </c>
      <c r="G164" s="17"/>
      <c r="H164" s="17">
        <f t="shared" si="41"/>
        <v>49678.577000000005</v>
      </c>
      <c r="I164" s="17"/>
      <c r="J164" s="17">
        <f t="shared" si="42"/>
        <v>50178.577000000005</v>
      </c>
      <c r="K164" s="17"/>
      <c r="L164" s="17"/>
      <c r="M164" s="17"/>
    </row>
    <row r="165" spans="1:13">
      <c r="C165" s="3">
        <v>7</v>
      </c>
      <c r="D165" s="17">
        <f t="shared" si="43"/>
        <v>49678.577000000005</v>
      </c>
      <c r="E165" s="17"/>
      <c r="F165" s="17">
        <f t="shared" si="44"/>
        <v>50178.577000000005</v>
      </c>
      <c r="G165" s="17"/>
      <c r="H165" s="17">
        <f t="shared" si="41"/>
        <v>50678.577000000005</v>
      </c>
      <c r="I165" s="17"/>
      <c r="J165" s="17">
        <f t="shared" si="42"/>
        <v>51178.577000000005</v>
      </c>
      <c r="K165" s="17"/>
      <c r="L165" s="17"/>
      <c r="M165" s="17"/>
    </row>
    <row r="166" spans="1:13">
      <c r="C166" s="3">
        <v>8</v>
      </c>
      <c r="D166" s="17">
        <f t="shared" si="43"/>
        <v>50678.577000000005</v>
      </c>
      <c r="E166" s="17"/>
      <c r="F166" s="17">
        <f t="shared" si="44"/>
        <v>51178.577000000005</v>
      </c>
      <c r="G166" s="17"/>
      <c r="H166" s="17">
        <f t="shared" si="41"/>
        <v>51678.577000000005</v>
      </c>
      <c r="I166" s="17"/>
      <c r="J166" s="17">
        <f t="shared" si="42"/>
        <v>52178.577000000005</v>
      </c>
      <c r="K166" s="17"/>
      <c r="L166" s="17"/>
      <c r="M166" s="17"/>
    </row>
    <row r="167" spans="1:13">
      <c r="C167" s="3">
        <v>9</v>
      </c>
      <c r="D167" s="17">
        <f t="shared" si="43"/>
        <v>51678.577000000005</v>
      </c>
      <c r="E167" s="17"/>
      <c r="F167" s="17">
        <f t="shared" si="44"/>
        <v>52178.577000000005</v>
      </c>
      <c r="G167" s="17"/>
      <c r="H167" s="17">
        <f t="shared" si="41"/>
        <v>52678.577000000005</v>
      </c>
      <c r="I167" s="17"/>
      <c r="J167" s="17">
        <f t="shared" si="42"/>
        <v>53178.577000000005</v>
      </c>
      <c r="K167" s="17"/>
      <c r="L167" s="17"/>
      <c r="M167" s="17"/>
    </row>
    <row r="168" spans="1:13">
      <c r="C168" s="3">
        <v>10</v>
      </c>
      <c r="D168" s="17">
        <f t="shared" si="43"/>
        <v>52678.577000000005</v>
      </c>
      <c r="E168" s="17"/>
      <c r="F168" s="17">
        <f t="shared" si="44"/>
        <v>53178.577000000005</v>
      </c>
      <c r="G168" s="17"/>
      <c r="H168" s="17">
        <f t="shared" si="41"/>
        <v>53678.577000000005</v>
      </c>
      <c r="I168" s="17"/>
      <c r="J168" s="17">
        <f t="shared" si="42"/>
        <v>54178.577000000005</v>
      </c>
      <c r="K168" s="17"/>
      <c r="L168" s="17"/>
      <c r="M168" s="17"/>
    </row>
    <row r="169" spans="1:13"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>
      <c r="A170" s="3" t="s">
        <v>146</v>
      </c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>
      <c r="C171" s="3" t="s">
        <v>109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>
      <c r="B172" s="3" t="str">
        <f>B158</f>
        <v>Level</v>
      </c>
      <c r="D172" s="17" t="s">
        <v>115</v>
      </c>
      <c r="E172" s="17"/>
      <c r="F172" s="17" t="s">
        <v>147</v>
      </c>
      <c r="G172" s="17"/>
      <c r="H172" s="17" t="s">
        <v>148</v>
      </c>
      <c r="I172" s="17"/>
      <c r="J172" s="17" t="s">
        <v>113</v>
      </c>
      <c r="K172" s="17"/>
      <c r="L172" s="17"/>
      <c r="M172" s="17"/>
    </row>
    <row r="173" spans="1:13">
      <c r="C173" s="3">
        <v>1</v>
      </c>
      <c r="D173" s="17">
        <f>33084*0.99</f>
        <v>32753.16</v>
      </c>
      <c r="E173" s="17"/>
      <c r="F173" s="17">
        <f t="shared" ref="F173:F182" si="45">D173+1000</f>
        <v>33753.160000000003</v>
      </c>
      <c r="G173" s="17"/>
      <c r="H173" s="17">
        <f t="shared" ref="H173:H182" si="46">F173+500</f>
        <v>34253.160000000003</v>
      </c>
      <c r="I173" s="17"/>
      <c r="J173" s="17">
        <f t="shared" ref="J173:J182" si="47">H173+500</f>
        <v>34753.160000000003</v>
      </c>
      <c r="K173" s="17"/>
      <c r="L173" s="17"/>
      <c r="M173" s="17"/>
    </row>
    <row r="174" spans="1:13">
      <c r="C174" s="3">
        <v>2</v>
      </c>
      <c r="D174" s="17">
        <f t="shared" ref="D174:D182" si="48">D173*1.025</f>
        <v>33571.988999999994</v>
      </c>
      <c r="E174" s="17"/>
      <c r="F174" s="17">
        <f t="shared" si="45"/>
        <v>34571.988999999994</v>
      </c>
      <c r="G174" s="17"/>
      <c r="H174" s="17">
        <f t="shared" si="46"/>
        <v>35071.988999999994</v>
      </c>
      <c r="I174" s="17"/>
      <c r="J174" s="17">
        <f t="shared" si="47"/>
        <v>35571.988999999994</v>
      </c>
      <c r="K174" s="17"/>
      <c r="L174" s="17"/>
      <c r="M174" s="17"/>
    </row>
    <row r="175" spans="1:13">
      <c r="C175" s="3">
        <v>3</v>
      </c>
      <c r="D175" s="17">
        <f t="shared" si="48"/>
        <v>34411.288724999991</v>
      </c>
      <c r="E175" s="17"/>
      <c r="F175" s="17">
        <f t="shared" si="45"/>
        <v>35411.288724999991</v>
      </c>
      <c r="G175" s="17"/>
      <c r="H175" s="17">
        <f t="shared" si="46"/>
        <v>35911.288724999991</v>
      </c>
      <c r="I175" s="17"/>
      <c r="J175" s="17">
        <f t="shared" si="47"/>
        <v>36411.288724999991</v>
      </c>
      <c r="K175" s="17"/>
      <c r="L175" s="17"/>
      <c r="M175" s="17"/>
    </row>
    <row r="176" spans="1:13">
      <c r="C176" s="3">
        <v>4</v>
      </c>
      <c r="D176" s="17">
        <f t="shared" si="48"/>
        <v>35271.570943124985</v>
      </c>
      <c r="E176" s="17"/>
      <c r="F176" s="17">
        <f t="shared" si="45"/>
        <v>36271.570943124985</v>
      </c>
      <c r="G176" s="17"/>
      <c r="H176" s="17">
        <f t="shared" si="46"/>
        <v>36771.570943124985</v>
      </c>
      <c r="I176" s="17"/>
      <c r="J176" s="17">
        <f t="shared" si="47"/>
        <v>37271.570943124985</v>
      </c>
      <c r="K176" s="17"/>
      <c r="L176" s="17"/>
      <c r="M176" s="17"/>
    </row>
    <row r="177" spans="1:13">
      <c r="C177" s="3">
        <v>5</v>
      </c>
      <c r="D177" s="17">
        <f t="shared" si="48"/>
        <v>36153.360216703106</v>
      </c>
      <c r="E177" s="17"/>
      <c r="F177" s="17">
        <f t="shared" si="45"/>
        <v>37153.360216703106</v>
      </c>
      <c r="G177" s="17"/>
      <c r="H177" s="17">
        <f t="shared" si="46"/>
        <v>37653.360216703106</v>
      </c>
      <c r="I177" s="17"/>
      <c r="J177" s="17">
        <f t="shared" si="47"/>
        <v>38153.360216703106</v>
      </c>
      <c r="K177" s="17"/>
      <c r="L177" s="17"/>
      <c r="M177" s="17"/>
    </row>
    <row r="178" spans="1:13">
      <c r="C178" s="3">
        <v>6</v>
      </c>
      <c r="D178" s="17">
        <f t="shared" si="48"/>
        <v>37057.194222120677</v>
      </c>
      <c r="E178" s="17"/>
      <c r="F178" s="17">
        <f t="shared" si="45"/>
        <v>38057.194222120677</v>
      </c>
      <c r="G178" s="17"/>
      <c r="H178" s="17">
        <f t="shared" si="46"/>
        <v>38557.194222120677</v>
      </c>
      <c r="I178" s="17"/>
      <c r="J178" s="17">
        <f t="shared" si="47"/>
        <v>39057.194222120677</v>
      </c>
      <c r="K178" s="17"/>
      <c r="L178" s="17"/>
      <c r="M178" s="17"/>
    </row>
    <row r="179" spans="1:13">
      <c r="C179" s="3">
        <v>7</v>
      </c>
      <c r="D179" s="17">
        <f t="shared" si="48"/>
        <v>37983.624077673689</v>
      </c>
      <c r="E179" s="17"/>
      <c r="F179" s="17">
        <f t="shared" si="45"/>
        <v>38983.624077673689</v>
      </c>
      <c r="G179" s="17"/>
      <c r="H179" s="17">
        <f t="shared" si="46"/>
        <v>39483.624077673689</v>
      </c>
      <c r="I179" s="17"/>
      <c r="J179" s="17">
        <f t="shared" si="47"/>
        <v>39983.624077673689</v>
      </c>
      <c r="K179" s="17"/>
      <c r="L179" s="17"/>
      <c r="M179" s="17"/>
    </row>
    <row r="180" spans="1:13">
      <c r="C180" s="3">
        <v>8</v>
      </c>
      <c r="D180" s="17">
        <f t="shared" si="48"/>
        <v>38933.214679615528</v>
      </c>
      <c r="E180" s="17"/>
      <c r="F180" s="17">
        <f t="shared" si="45"/>
        <v>39933.214679615528</v>
      </c>
      <c r="G180" s="17"/>
      <c r="H180" s="17">
        <f t="shared" si="46"/>
        <v>40433.214679615528</v>
      </c>
      <c r="I180" s="17"/>
      <c r="J180" s="17">
        <f t="shared" si="47"/>
        <v>40933.214679615528</v>
      </c>
      <c r="K180" s="17"/>
      <c r="L180" s="17"/>
      <c r="M180" s="17"/>
    </row>
    <row r="181" spans="1:13">
      <c r="C181" s="3">
        <v>9</v>
      </c>
      <c r="D181" s="17">
        <f t="shared" si="48"/>
        <v>39906.545046605912</v>
      </c>
      <c r="E181" s="17"/>
      <c r="F181" s="17">
        <f t="shared" si="45"/>
        <v>40906.545046605912</v>
      </c>
      <c r="G181" s="17"/>
      <c r="H181" s="17">
        <f t="shared" si="46"/>
        <v>41406.545046605912</v>
      </c>
      <c r="I181" s="17"/>
      <c r="J181" s="17">
        <f t="shared" si="47"/>
        <v>41906.545046605912</v>
      </c>
      <c r="K181" s="17"/>
      <c r="L181" s="17"/>
      <c r="M181" s="17"/>
    </row>
    <row r="182" spans="1:13">
      <c r="C182" s="3">
        <v>10</v>
      </c>
      <c r="D182" s="17">
        <f t="shared" si="48"/>
        <v>40904.208672771056</v>
      </c>
      <c r="E182" s="17"/>
      <c r="F182" s="17">
        <f t="shared" si="45"/>
        <v>41904.208672771056</v>
      </c>
      <c r="G182" s="17"/>
      <c r="H182" s="17">
        <f t="shared" si="46"/>
        <v>42404.208672771056</v>
      </c>
      <c r="I182" s="17"/>
      <c r="J182" s="17">
        <f t="shared" si="47"/>
        <v>42904.208672771056</v>
      </c>
      <c r="K182" s="17"/>
      <c r="L182" s="17"/>
      <c r="M182" s="17"/>
    </row>
    <row r="183" spans="1:13"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>
      <c r="A184" s="3" t="s">
        <v>451</v>
      </c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>
      <c r="C185" s="3" t="s">
        <v>109</v>
      </c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>
      <c r="B186" s="3" t="str">
        <f>B172</f>
        <v>Level</v>
      </c>
      <c r="D186" s="17" t="s">
        <v>448</v>
      </c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>
      <c r="C187" s="3">
        <v>1</v>
      </c>
      <c r="D187" s="17">
        <f>SUM(D92)</f>
        <v>30087.809398840898</v>
      </c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>
      <c r="C188" s="3">
        <v>2</v>
      </c>
      <c r="D188" s="17">
        <f t="shared" ref="D188:D194" si="49">+D187*1.03</f>
        <v>30990.443680806125</v>
      </c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s="2" customFormat="1">
      <c r="C189" s="3">
        <v>3</v>
      </c>
      <c r="D189" s="18">
        <f t="shared" si="49"/>
        <v>31920.156991230309</v>
      </c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>
      <c r="C190" s="3">
        <v>4</v>
      </c>
      <c r="D190" s="17">
        <f t="shared" si="49"/>
        <v>32877.761700967218</v>
      </c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>
      <c r="C191" s="3">
        <v>5</v>
      </c>
      <c r="D191" s="17">
        <f t="shared" si="49"/>
        <v>33864.094551996233</v>
      </c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>
      <c r="C192" s="3">
        <v>6</v>
      </c>
      <c r="D192" s="17">
        <f t="shared" si="49"/>
        <v>34880.017388556123</v>
      </c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3:13">
      <c r="C193" s="3">
        <v>7</v>
      </c>
      <c r="D193" s="17">
        <f t="shared" si="49"/>
        <v>35926.417910212811</v>
      </c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3:13">
      <c r="C194" s="3">
        <v>8</v>
      </c>
      <c r="D194" s="17">
        <f t="shared" si="49"/>
        <v>37004.210447519195</v>
      </c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3:13">
      <c r="C195" s="3">
        <v>9</v>
      </c>
      <c r="D195" s="17">
        <f>+D194*1.0275</f>
        <v>38021.826234825974</v>
      </c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3:13">
      <c r="C196" s="3">
        <v>10</v>
      </c>
      <c r="D196" s="17">
        <f>+D195*1.0275</f>
        <v>39067.426456283691</v>
      </c>
      <c r="E196" s="17"/>
      <c r="F196" s="17"/>
      <c r="G196" s="17"/>
      <c r="H196" s="17"/>
      <c r="I196" s="17"/>
      <c r="J196" s="17"/>
      <c r="K196" s="17"/>
      <c r="L196" s="17"/>
      <c r="M196" s="17"/>
    </row>
    <row r="224" s="2" customFormat="1"/>
    <row r="227" s="2" customFormat="1"/>
  </sheetData>
  <phoneticPr fontId="24" type="noConversion"/>
  <pageMargins left="0.75" right="0.75" top="1.49" bottom="1" header="0.5" footer="0.5"/>
  <pageSetup orientation="portrait"/>
  <headerFooter alignWithMargins="0">
    <oddHeader>&amp;C&amp;"Arial,Bold"&amp;18International School of Louisiana
Faculty Salary Schedule '13 - 2014
&amp;A&amp;RPrinted &amp;D&amp;T</oddHeader>
    <oddFooter>&amp;L&amp;6&amp;Z&amp;F&amp;RPage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/>
  <dimension ref="A2:D196"/>
  <sheetViews>
    <sheetView topLeftCell="A7" zoomScale="106" zoomScaleNormal="106" zoomScalePageLayoutView="106" workbookViewId="0">
      <pane xSplit="1" ySplit="4" topLeftCell="B11" activePane="bottomRight" state="frozen"/>
      <selection activeCell="A7" sqref="A7"/>
      <selection pane="topRight" activeCell="B7" sqref="B7"/>
      <selection pane="bottomLeft" activeCell="A11" sqref="A11"/>
      <selection pane="bottomRight" activeCell="F18" sqref="F18"/>
    </sheetView>
  </sheetViews>
  <sheetFormatPr baseColWidth="10" defaultColWidth="8.7109375" defaultRowHeight="14" x14ac:dyDescent="0"/>
  <cols>
    <col min="1" max="1" width="26.85546875" style="265" customWidth="1"/>
    <col min="2" max="2" width="8.7109375" style="258"/>
    <col min="3" max="3" width="11" style="259" bestFit="1" customWidth="1"/>
    <col min="4" max="4" width="11.7109375" style="259" bestFit="1" customWidth="1"/>
    <col min="5" max="16384" width="8.7109375" style="259"/>
  </cols>
  <sheetData>
    <row r="2" spans="1:4">
      <c r="A2" s="258" t="s">
        <v>614</v>
      </c>
    </row>
    <row r="3" spans="1:4">
      <c r="A3" s="260" t="s">
        <v>584</v>
      </c>
    </row>
    <row r="4" spans="1:4">
      <c r="A4" s="261">
        <v>490</v>
      </c>
    </row>
    <row r="5" spans="1:4">
      <c r="A5" s="261">
        <v>150</v>
      </c>
    </row>
    <row r="6" spans="1:4">
      <c r="A6" s="261">
        <v>215</v>
      </c>
    </row>
    <row r="7" spans="1:4">
      <c r="A7" s="261">
        <v>400</v>
      </c>
      <c r="B7" s="262"/>
    </row>
    <row r="8" spans="1:4">
      <c r="A8" s="263">
        <f>SUM(A4:A7)</f>
        <v>1255</v>
      </c>
      <c r="B8" s="264" t="s">
        <v>604</v>
      </c>
    </row>
    <row r="9" spans="1:4">
      <c r="B9" s="266" t="s">
        <v>453</v>
      </c>
    </row>
    <row r="10" spans="1:4" ht="15" thickBot="1">
      <c r="A10" s="267" t="s">
        <v>174</v>
      </c>
      <c r="B10" s="268" t="s">
        <v>642</v>
      </c>
      <c r="C10" s="259">
        <v>324</v>
      </c>
      <c r="D10" s="259">
        <v>400</v>
      </c>
    </row>
    <row r="11" spans="1:4">
      <c r="B11" s="269"/>
    </row>
    <row r="12" spans="1:4">
      <c r="B12" s="269"/>
    </row>
    <row r="13" spans="1:4">
      <c r="A13" s="265" t="s">
        <v>270</v>
      </c>
      <c r="B13" s="270"/>
    </row>
    <row r="14" spans="1:4">
      <c r="A14" s="265" t="s">
        <v>271</v>
      </c>
      <c r="B14" s="271">
        <f>19963.79+6722.45</f>
        <v>26686.240000000002</v>
      </c>
      <c r="C14" s="272">
        <f>B14/$C$10</f>
        <v>82.364938271604942</v>
      </c>
      <c r="D14" s="272">
        <f>C14*$D$10</f>
        <v>32945.975308641973</v>
      </c>
    </row>
    <row r="15" spans="1:4">
      <c r="A15" s="265" t="s">
        <v>272</v>
      </c>
      <c r="B15" s="271"/>
      <c r="C15" s="272">
        <f t="shared" ref="C15:C37" si="0">B15/$C$10</f>
        <v>0</v>
      </c>
      <c r="D15" s="272">
        <f t="shared" ref="D15:D37" si="1">C15*$D$10</f>
        <v>0</v>
      </c>
    </row>
    <row r="16" spans="1:4">
      <c r="A16" s="265" t="s">
        <v>273</v>
      </c>
      <c r="B16" s="271">
        <v>24204.63</v>
      </c>
      <c r="C16" s="272">
        <f t="shared" si="0"/>
        <v>74.705648148148157</v>
      </c>
      <c r="D16" s="272">
        <f t="shared" si="1"/>
        <v>29882.259259259263</v>
      </c>
    </row>
    <row r="17" spans="1:4">
      <c r="A17" s="265" t="s">
        <v>274</v>
      </c>
      <c r="B17" s="271">
        <v>35476.379999999997</v>
      </c>
      <c r="C17" s="272">
        <f t="shared" si="0"/>
        <v>109.49499999999999</v>
      </c>
      <c r="D17" s="272">
        <f t="shared" si="1"/>
        <v>43797.999999999993</v>
      </c>
    </row>
    <row r="18" spans="1:4">
      <c r="A18" s="265" t="s">
        <v>275</v>
      </c>
      <c r="B18" s="271"/>
      <c r="C18" s="272">
        <f t="shared" si="0"/>
        <v>0</v>
      </c>
      <c r="D18" s="272">
        <f t="shared" si="1"/>
        <v>0</v>
      </c>
    </row>
    <row r="19" spans="1:4">
      <c r="A19" s="265" t="s">
        <v>276</v>
      </c>
      <c r="B19" s="271"/>
      <c r="C19" s="272">
        <f t="shared" si="0"/>
        <v>0</v>
      </c>
      <c r="D19" s="272">
        <f t="shared" si="1"/>
        <v>0</v>
      </c>
    </row>
    <row r="20" spans="1:4">
      <c r="A20" s="265" t="s">
        <v>277</v>
      </c>
      <c r="B20" s="271"/>
      <c r="C20" s="272">
        <f t="shared" si="0"/>
        <v>0</v>
      </c>
      <c r="D20" s="272">
        <f t="shared" si="1"/>
        <v>0</v>
      </c>
    </row>
    <row r="21" spans="1:4">
      <c r="A21" s="265" t="s">
        <v>278</v>
      </c>
      <c r="B21" s="271">
        <v>40802.480000000003</v>
      </c>
      <c r="C21" s="272">
        <f t="shared" si="0"/>
        <v>125.93358024691359</v>
      </c>
      <c r="D21" s="272">
        <f t="shared" si="1"/>
        <v>50373.432098765436</v>
      </c>
    </row>
    <row r="22" spans="1:4">
      <c r="A22" s="265" t="s">
        <v>279</v>
      </c>
      <c r="B22" s="271"/>
      <c r="C22" s="272">
        <f t="shared" si="0"/>
        <v>0</v>
      </c>
      <c r="D22" s="272">
        <f t="shared" si="1"/>
        <v>0</v>
      </c>
    </row>
    <row r="23" spans="1:4">
      <c r="A23" s="265" t="s">
        <v>280</v>
      </c>
      <c r="B23" s="271">
        <v>45</v>
      </c>
      <c r="C23" s="272">
        <f t="shared" si="0"/>
        <v>0.1388888888888889</v>
      </c>
      <c r="D23" s="272">
        <f t="shared" si="1"/>
        <v>55.555555555555557</v>
      </c>
    </row>
    <row r="24" spans="1:4">
      <c r="A24" s="265" t="s">
        <v>281</v>
      </c>
      <c r="B24" s="271"/>
      <c r="C24" s="272">
        <f t="shared" si="0"/>
        <v>0</v>
      </c>
      <c r="D24" s="272">
        <f t="shared" si="1"/>
        <v>0</v>
      </c>
    </row>
    <row r="25" spans="1:4">
      <c r="A25" s="265" t="s">
        <v>282</v>
      </c>
      <c r="B25" s="271"/>
      <c r="C25" s="272">
        <f t="shared" si="0"/>
        <v>0</v>
      </c>
      <c r="D25" s="272">
        <f t="shared" si="1"/>
        <v>0</v>
      </c>
    </row>
    <row r="26" spans="1:4">
      <c r="A26" s="265" t="s">
        <v>283</v>
      </c>
      <c r="B26" s="271"/>
      <c r="C26" s="272">
        <f t="shared" si="0"/>
        <v>0</v>
      </c>
      <c r="D26" s="272">
        <f t="shared" si="1"/>
        <v>0</v>
      </c>
    </row>
    <row r="27" spans="1:4">
      <c r="A27" s="265" t="s">
        <v>284</v>
      </c>
      <c r="B27" s="271">
        <v>7249.22</v>
      </c>
      <c r="C27" s="272">
        <f t="shared" si="0"/>
        <v>22.374135802469137</v>
      </c>
      <c r="D27" s="272">
        <f t="shared" si="1"/>
        <v>8949.6543209876545</v>
      </c>
    </row>
    <row r="28" spans="1:4">
      <c r="A28" s="265" t="s">
        <v>285</v>
      </c>
      <c r="B28" s="271">
        <v>1237.5</v>
      </c>
      <c r="C28" s="272">
        <f t="shared" si="0"/>
        <v>3.8194444444444446</v>
      </c>
      <c r="D28" s="272">
        <f t="shared" si="1"/>
        <v>1527.7777777777778</v>
      </c>
    </row>
    <row r="29" spans="1:4">
      <c r="A29" s="265" t="s">
        <v>286</v>
      </c>
      <c r="B29" s="271"/>
      <c r="C29" s="272">
        <f t="shared" si="0"/>
        <v>0</v>
      </c>
      <c r="D29" s="272">
        <f t="shared" si="1"/>
        <v>0</v>
      </c>
    </row>
    <row r="30" spans="1:4">
      <c r="A30" s="265" t="s">
        <v>287</v>
      </c>
      <c r="B30" s="271"/>
      <c r="C30" s="272">
        <f t="shared" si="0"/>
        <v>0</v>
      </c>
      <c r="D30" s="272">
        <f t="shared" si="1"/>
        <v>0</v>
      </c>
    </row>
    <row r="31" spans="1:4">
      <c r="A31" s="265" t="s">
        <v>288</v>
      </c>
      <c r="B31" s="271"/>
      <c r="C31" s="272">
        <f t="shared" si="0"/>
        <v>0</v>
      </c>
      <c r="D31" s="272">
        <f t="shared" si="1"/>
        <v>0</v>
      </c>
    </row>
    <row r="32" spans="1:4">
      <c r="A32" s="265" t="s">
        <v>210</v>
      </c>
      <c r="B32" s="271"/>
      <c r="C32" s="272">
        <f t="shared" si="0"/>
        <v>0</v>
      </c>
      <c r="D32" s="272">
        <f t="shared" si="1"/>
        <v>0</v>
      </c>
    </row>
    <row r="33" spans="1:4">
      <c r="A33" s="265" t="s">
        <v>214</v>
      </c>
      <c r="B33" s="271"/>
      <c r="C33" s="272">
        <f t="shared" si="0"/>
        <v>0</v>
      </c>
      <c r="D33" s="272">
        <f t="shared" si="1"/>
        <v>0</v>
      </c>
    </row>
    <row r="34" spans="1:4">
      <c r="A34" s="265" t="s">
        <v>289</v>
      </c>
      <c r="B34" s="271"/>
      <c r="C34" s="272">
        <f t="shared" si="0"/>
        <v>0</v>
      </c>
      <c r="D34" s="272">
        <f t="shared" si="1"/>
        <v>0</v>
      </c>
    </row>
    <row r="35" spans="1:4">
      <c r="A35" s="265" t="s">
        <v>290</v>
      </c>
      <c r="B35" s="271"/>
      <c r="C35" s="272">
        <f t="shared" si="0"/>
        <v>0</v>
      </c>
      <c r="D35" s="272">
        <f t="shared" si="1"/>
        <v>0</v>
      </c>
    </row>
    <row r="36" spans="1:4">
      <c r="A36" s="265" t="s">
        <v>291</v>
      </c>
      <c r="B36" s="271"/>
      <c r="C36" s="272">
        <f t="shared" si="0"/>
        <v>0</v>
      </c>
      <c r="D36" s="272">
        <f t="shared" si="1"/>
        <v>0</v>
      </c>
    </row>
    <row r="37" spans="1:4">
      <c r="A37" s="265" t="s">
        <v>292</v>
      </c>
      <c r="B37" s="273"/>
      <c r="C37" s="272">
        <f t="shared" si="0"/>
        <v>0</v>
      </c>
      <c r="D37" s="272">
        <f t="shared" si="1"/>
        <v>0</v>
      </c>
    </row>
    <row r="38" spans="1:4">
      <c r="A38" s="265" t="s">
        <v>293</v>
      </c>
      <c r="B38" s="270">
        <f t="shared" ref="B38:D38" si="2">+SUM(B13:B37)</f>
        <v>135701.45000000001</v>
      </c>
      <c r="C38" s="274">
        <f t="shared" si="2"/>
        <v>418.83163580246924</v>
      </c>
      <c r="D38" s="270">
        <f t="shared" si="2"/>
        <v>167532.65432098767</v>
      </c>
    </row>
    <row r="39" spans="1:4">
      <c r="B39" s="270"/>
      <c r="C39" s="272"/>
    </row>
    <row r="40" spans="1:4">
      <c r="B40" s="270"/>
      <c r="C40" s="272"/>
    </row>
    <row r="41" spans="1:4">
      <c r="A41" s="265" t="s">
        <v>295</v>
      </c>
      <c r="B41" s="271">
        <v>3038580</v>
      </c>
      <c r="C41" s="272">
        <f>B41/$C$10</f>
        <v>9378.3333333333339</v>
      </c>
      <c r="D41" s="272">
        <f t="shared" ref="D41:D48" si="3">C41*$D$10</f>
        <v>3751333.3333333335</v>
      </c>
    </row>
    <row r="42" spans="1:4">
      <c r="A42" s="265" t="s">
        <v>219</v>
      </c>
      <c r="B42" s="271">
        <v>13652.88</v>
      </c>
      <c r="C42" s="272">
        <f t="shared" ref="C42:C48" si="4">B42/$C$10</f>
        <v>42.138518518518516</v>
      </c>
      <c r="D42" s="272">
        <f t="shared" si="3"/>
        <v>16855.407407407405</v>
      </c>
    </row>
    <row r="43" spans="1:4">
      <c r="A43" s="265" t="s">
        <v>221</v>
      </c>
      <c r="B43" s="271"/>
      <c r="C43" s="272">
        <f t="shared" si="4"/>
        <v>0</v>
      </c>
      <c r="D43" s="272">
        <f t="shared" si="3"/>
        <v>0</v>
      </c>
    </row>
    <row r="44" spans="1:4">
      <c r="A44" s="265" t="s">
        <v>296</v>
      </c>
      <c r="B44" s="271"/>
      <c r="C44" s="272">
        <f t="shared" si="4"/>
        <v>0</v>
      </c>
      <c r="D44" s="272">
        <f t="shared" si="3"/>
        <v>0</v>
      </c>
    </row>
    <row r="45" spans="1:4">
      <c r="A45" s="265" t="s">
        <v>224</v>
      </c>
      <c r="B45" s="271"/>
      <c r="C45" s="272">
        <f t="shared" si="4"/>
        <v>0</v>
      </c>
      <c r="D45" s="272">
        <f t="shared" si="3"/>
        <v>0</v>
      </c>
    </row>
    <row r="46" spans="1:4">
      <c r="A46" s="265" t="s">
        <v>226</v>
      </c>
      <c r="B46" s="271"/>
      <c r="C46" s="272">
        <f t="shared" si="4"/>
        <v>0</v>
      </c>
      <c r="D46" s="272">
        <f t="shared" si="3"/>
        <v>0</v>
      </c>
    </row>
    <row r="47" spans="1:4">
      <c r="A47" s="265" t="s">
        <v>297</v>
      </c>
      <c r="B47" s="271"/>
      <c r="C47" s="272">
        <f t="shared" si="4"/>
        <v>0</v>
      </c>
      <c r="D47" s="272">
        <f t="shared" si="3"/>
        <v>0</v>
      </c>
    </row>
    <row r="48" spans="1:4">
      <c r="A48" s="265" t="s">
        <v>298</v>
      </c>
      <c r="B48" s="273"/>
      <c r="C48" s="272">
        <f t="shared" si="4"/>
        <v>0</v>
      </c>
      <c r="D48" s="272">
        <f t="shared" si="3"/>
        <v>0</v>
      </c>
    </row>
    <row r="49" spans="1:4">
      <c r="A49" s="265" t="s">
        <v>299</v>
      </c>
      <c r="B49" s="270">
        <f t="shared" ref="B49:D49" si="5">+SUM(B41:B48)</f>
        <v>3052232.88</v>
      </c>
      <c r="C49" s="274">
        <f t="shared" si="5"/>
        <v>9420.471851851853</v>
      </c>
      <c r="D49" s="270">
        <f t="shared" si="5"/>
        <v>3768188.7407407407</v>
      </c>
    </row>
    <row r="50" spans="1:4">
      <c r="B50" s="270"/>
      <c r="C50" s="272"/>
    </row>
    <row r="51" spans="1:4">
      <c r="B51" s="270"/>
      <c r="C51" s="272"/>
    </row>
    <row r="52" spans="1:4">
      <c r="B52" s="270"/>
      <c r="C52" s="272"/>
    </row>
    <row r="53" spans="1:4">
      <c r="A53" s="265" t="s">
        <v>389</v>
      </c>
      <c r="B53" s="271">
        <v>0</v>
      </c>
      <c r="C53" s="272">
        <f t="shared" ref="C53:C65" si="6">B53/$C$10</f>
        <v>0</v>
      </c>
      <c r="D53" s="272">
        <f t="shared" ref="D53:D65" si="7">C53*$D$10</f>
        <v>0</v>
      </c>
    </row>
    <row r="54" spans="1:4">
      <c r="A54" s="265" t="s">
        <v>390</v>
      </c>
      <c r="B54" s="271"/>
      <c r="C54" s="272">
        <f t="shared" si="6"/>
        <v>0</v>
      </c>
      <c r="D54" s="272">
        <f t="shared" si="7"/>
        <v>0</v>
      </c>
    </row>
    <row r="55" spans="1:4">
      <c r="A55" s="265" t="s">
        <v>391</v>
      </c>
      <c r="B55" s="271"/>
      <c r="C55" s="272">
        <f t="shared" si="6"/>
        <v>0</v>
      </c>
      <c r="D55" s="272">
        <f t="shared" si="7"/>
        <v>0</v>
      </c>
    </row>
    <row r="56" spans="1:4">
      <c r="A56" s="265" t="s">
        <v>302</v>
      </c>
      <c r="B56" s="271"/>
      <c r="C56" s="272">
        <f t="shared" si="6"/>
        <v>0</v>
      </c>
      <c r="D56" s="272">
        <f t="shared" si="7"/>
        <v>0</v>
      </c>
    </row>
    <row r="57" spans="1:4">
      <c r="A57" s="265" t="s">
        <v>303</v>
      </c>
      <c r="B57" s="271">
        <v>72743.95</v>
      </c>
      <c r="C57" s="272">
        <f t="shared" si="6"/>
        <v>224.51836419753084</v>
      </c>
      <c r="D57" s="272">
        <f t="shared" si="7"/>
        <v>89807.345679012331</v>
      </c>
    </row>
    <row r="58" spans="1:4">
      <c r="A58" s="265" t="s">
        <v>304</v>
      </c>
      <c r="B58" s="271">
        <v>4931.1000000000004</v>
      </c>
      <c r="C58" s="272">
        <f t="shared" si="6"/>
        <v>15.219444444444445</v>
      </c>
      <c r="D58" s="272">
        <f t="shared" si="7"/>
        <v>6087.7777777777783</v>
      </c>
    </row>
    <row r="59" spans="1:4">
      <c r="A59" s="265" t="s">
        <v>305</v>
      </c>
      <c r="B59" s="271"/>
      <c r="C59" s="272">
        <f t="shared" si="6"/>
        <v>0</v>
      </c>
      <c r="D59" s="272">
        <f t="shared" si="7"/>
        <v>0</v>
      </c>
    </row>
    <row r="60" spans="1:4">
      <c r="A60" s="265" t="s">
        <v>2</v>
      </c>
      <c r="B60" s="271"/>
      <c r="C60" s="272">
        <f t="shared" si="6"/>
        <v>0</v>
      </c>
      <c r="D60" s="272">
        <f t="shared" si="7"/>
        <v>0</v>
      </c>
    </row>
    <row r="61" spans="1:4">
      <c r="A61" s="265" t="s">
        <v>5</v>
      </c>
      <c r="B61" s="271"/>
      <c r="C61" s="272">
        <f t="shared" si="6"/>
        <v>0</v>
      </c>
      <c r="D61" s="272">
        <f t="shared" si="7"/>
        <v>0</v>
      </c>
    </row>
    <row r="62" spans="1:4">
      <c r="A62" s="265" t="s">
        <v>7</v>
      </c>
      <c r="B62" s="271"/>
      <c r="C62" s="272">
        <f t="shared" si="6"/>
        <v>0</v>
      </c>
      <c r="D62" s="272">
        <f t="shared" si="7"/>
        <v>0</v>
      </c>
    </row>
    <row r="63" spans="1:4">
      <c r="A63" s="265" t="s">
        <v>9</v>
      </c>
      <c r="B63" s="271"/>
      <c r="C63" s="272">
        <f t="shared" si="6"/>
        <v>0</v>
      </c>
      <c r="D63" s="272">
        <f t="shared" si="7"/>
        <v>0</v>
      </c>
    </row>
    <row r="64" spans="1:4">
      <c r="A64" s="265" t="s">
        <v>307</v>
      </c>
      <c r="B64" s="271"/>
      <c r="C64" s="272">
        <f t="shared" si="6"/>
        <v>0</v>
      </c>
      <c r="D64" s="272">
        <f t="shared" si="7"/>
        <v>0</v>
      </c>
    </row>
    <row r="65" spans="1:4">
      <c r="A65" s="265" t="s">
        <v>306</v>
      </c>
      <c r="B65" s="273"/>
      <c r="C65" s="272">
        <f t="shared" si="6"/>
        <v>0</v>
      </c>
      <c r="D65" s="272">
        <f t="shared" si="7"/>
        <v>0</v>
      </c>
    </row>
    <row r="66" spans="1:4">
      <c r="A66" s="265" t="s">
        <v>308</v>
      </c>
      <c r="B66" s="270">
        <f t="shared" ref="B66:D66" si="8">+SUM(B53:B65)</f>
        <v>77675.05</v>
      </c>
      <c r="C66" s="274">
        <f t="shared" si="8"/>
        <v>239.73780864197528</v>
      </c>
      <c r="D66" s="270">
        <f t="shared" si="8"/>
        <v>95895.123456790112</v>
      </c>
    </row>
    <row r="67" spans="1:4">
      <c r="B67" s="270"/>
      <c r="C67" s="272"/>
    </row>
    <row r="68" spans="1:4">
      <c r="A68" s="275" t="s">
        <v>309</v>
      </c>
      <c r="B68" s="270">
        <f>+B66+B49+B38</f>
        <v>3265609.38</v>
      </c>
      <c r="C68" s="274">
        <f>+C66+C49+C38</f>
        <v>10079.041296296298</v>
      </c>
      <c r="D68" s="270">
        <f>+D66+D49+D38</f>
        <v>4031616.5185185187</v>
      </c>
    </row>
    <row r="69" spans="1:4">
      <c r="B69" s="270"/>
      <c r="C69" s="272"/>
    </row>
    <row r="70" spans="1:4">
      <c r="B70" s="270"/>
      <c r="C70" s="272"/>
    </row>
    <row r="71" spans="1:4">
      <c r="B71" s="270"/>
      <c r="C71" s="272"/>
    </row>
    <row r="72" spans="1:4">
      <c r="A72" s="265" t="s">
        <v>320</v>
      </c>
      <c r="B72" s="271">
        <v>152166.63</v>
      </c>
      <c r="C72" s="272">
        <f t="shared" ref="C72:C79" si="9">B72/$C$10</f>
        <v>469.65009259259261</v>
      </c>
      <c r="D72" s="272">
        <f t="shared" ref="D72:D79" si="10">C72*$D$10</f>
        <v>187860.03703703705</v>
      </c>
    </row>
    <row r="73" spans="1:4">
      <c r="A73" s="265" t="s">
        <v>312</v>
      </c>
      <c r="B73" s="271">
        <v>782351.19</v>
      </c>
      <c r="C73" s="272">
        <f t="shared" si="9"/>
        <v>2414.6641666666665</v>
      </c>
      <c r="D73" s="272">
        <f t="shared" si="10"/>
        <v>965865.66666666663</v>
      </c>
    </row>
    <row r="74" spans="1:4">
      <c r="A74" s="265" t="s">
        <v>313</v>
      </c>
      <c r="B74" s="271">
        <v>155783.49</v>
      </c>
      <c r="C74" s="272">
        <f t="shared" si="9"/>
        <v>480.8132407407407</v>
      </c>
      <c r="D74" s="272">
        <f t="shared" si="10"/>
        <v>192325.29629629629</v>
      </c>
    </row>
    <row r="75" spans="1:4">
      <c r="A75" s="265" t="s">
        <v>314</v>
      </c>
      <c r="B75" s="271">
        <v>45289.43</v>
      </c>
      <c r="C75" s="272">
        <f t="shared" si="9"/>
        <v>139.7821913580247</v>
      </c>
      <c r="D75" s="272">
        <f t="shared" si="10"/>
        <v>55912.876543209881</v>
      </c>
    </row>
    <row r="76" spans="1:4">
      <c r="A76" s="265" t="s">
        <v>315</v>
      </c>
      <c r="B76" s="271">
        <v>26981.84</v>
      </c>
      <c r="C76" s="272">
        <f t="shared" si="9"/>
        <v>83.277283950617289</v>
      </c>
      <c r="D76" s="272">
        <f t="shared" si="10"/>
        <v>33310.913580246917</v>
      </c>
    </row>
    <row r="77" spans="1:4">
      <c r="A77" s="265" t="s">
        <v>316</v>
      </c>
      <c r="B77" s="271">
        <v>36344.46</v>
      </c>
      <c r="C77" s="272">
        <f t="shared" si="9"/>
        <v>112.17425925925926</v>
      </c>
      <c r="D77" s="272">
        <f t="shared" si="10"/>
        <v>44869.703703703701</v>
      </c>
    </row>
    <row r="78" spans="1:4">
      <c r="A78" s="265" t="s">
        <v>317</v>
      </c>
      <c r="B78" s="271">
        <v>51608.9</v>
      </c>
      <c r="C78" s="272">
        <f t="shared" si="9"/>
        <v>159.28672839506174</v>
      </c>
      <c r="D78" s="272">
        <f t="shared" si="10"/>
        <v>63714.691358024698</v>
      </c>
    </row>
    <row r="79" spans="1:4">
      <c r="A79" s="265" t="s">
        <v>319</v>
      </c>
      <c r="B79" s="273">
        <v>17853.509999999998</v>
      </c>
      <c r="C79" s="272">
        <f t="shared" si="9"/>
        <v>55.103425925925919</v>
      </c>
      <c r="D79" s="272">
        <f t="shared" si="10"/>
        <v>22041.370370370369</v>
      </c>
    </row>
    <row r="80" spans="1:4">
      <c r="A80" s="265" t="s">
        <v>24</v>
      </c>
      <c r="B80" s="270">
        <f t="shared" ref="B80:D80" si="11">+SUM(B72:B79)</f>
        <v>1268379.45</v>
      </c>
      <c r="C80" s="274">
        <f t="shared" si="11"/>
        <v>3914.7513888888884</v>
      </c>
      <c r="D80" s="270">
        <f t="shared" si="11"/>
        <v>1565900.5555555555</v>
      </c>
    </row>
    <row r="81" spans="1:4">
      <c r="B81" s="270"/>
      <c r="C81" s="272"/>
    </row>
    <row r="82" spans="1:4">
      <c r="B82" s="270"/>
      <c r="C82" s="272"/>
    </row>
    <row r="83" spans="1:4">
      <c r="B83" s="270"/>
      <c r="C83" s="272"/>
    </row>
    <row r="84" spans="1:4">
      <c r="A84" s="265" t="s">
        <v>321</v>
      </c>
      <c r="B84" s="271">
        <v>36579.53</v>
      </c>
      <c r="C84" s="272">
        <f t="shared" ref="C84:C87" si="12">B84/$C$10</f>
        <v>112.89978395061728</v>
      </c>
      <c r="D84" s="272">
        <f t="shared" ref="D84:D87" si="13">C84*$D$10</f>
        <v>45159.91358024691</v>
      </c>
    </row>
    <row r="85" spans="1:4">
      <c r="A85" s="265" t="s">
        <v>322</v>
      </c>
      <c r="B85" s="271">
        <v>178.5</v>
      </c>
      <c r="C85" s="272">
        <f t="shared" si="12"/>
        <v>0.55092592592592593</v>
      </c>
      <c r="D85" s="272">
        <f t="shared" si="13"/>
        <v>220.37037037037038</v>
      </c>
    </row>
    <row r="86" spans="1:4">
      <c r="A86" s="265" t="s">
        <v>407</v>
      </c>
      <c r="B86" s="271"/>
      <c r="C86" s="272">
        <f t="shared" si="12"/>
        <v>0</v>
      </c>
      <c r="D86" s="272">
        <f t="shared" si="13"/>
        <v>0</v>
      </c>
    </row>
    <row r="87" spans="1:4">
      <c r="A87" s="265" t="s">
        <v>23</v>
      </c>
      <c r="B87" s="273">
        <v>13351.79</v>
      </c>
      <c r="C87" s="272">
        <f t="shared" si="12"/>
        <v>41.209228395061729</v>
      </c>
      <c r="D87" s="272">
        <f t="shared" si="13"/>
        <v>16483.691358024691</v>
      </c>
    </row>
    <row r="88" spans="1:4">
      <c r="A88" s="265" t="s">
        <v>323</v>
      </c>
      <c r="B88" s="270">
        <f t="shared" ref="B88:D88" si="14">+SUM(B84:B87)</f>
        <v>50109.82</v>
      </c>
      <c r="C88" s="274">
        <f t="shared" si="14"/>
        <v>154.65993827160491</v>
      </c>
      <c r="D88" s="270">
        <f t="shared" si="14"/>
        <v>61863.975308641973</v>
      </c>
    </row>
    <row r="89" spans="1:4">
      <c r="B89" s="270"/>
      <c r="C89" s="272"/>
    </row>
    <row r="90" spans="1:4">
      <c r="A90" s="265" t="s">
        <v>324</v>
      </c>
      <c r="B90" s="270">
        <f>+B80+B88</f>
        <v>1318489.27</v>
      </c>
      <c r="C90" s="274">
        <f>+C80+C88</f>
        <v>4069.4113271604933</v>
      </c>
      <c r="D90" s="270">
        <f>+D80+D88</f>
        <v>1627764.5308641975</v>
      </c>
    </row>
    <row r="91" spans="1:4">
      <c r="B91" s="270"/>
      <c r="C91" s="272"/>
    </row>
    <row r="92" spans="1:4">
      <c r="B92" s="270"/>
      <c r="C92" s="272"/>
    </row>
    <row r="93" spans="1:4">
      <c r="A93" s="265" t="s">
        <v>33</v>
      </c>
      <c r="B93" s="271">
        <v>58814.43</v>
      </c>
      <c r="C93" s="272">
        <f t="shared" ref="C93:C101" si="15">B93/$C$10</f>
        <v>181.52601851851853</v>
      </c>
      <c r="D93" s="272">
        <f t="shared" ref="D93:D101" si="16">C93*$D$10</f>
        <v>72610.407407407416</v>
      </c>
    </row>
    <row r="94" spans="1:4">
      <c r="A94" s="265" t="s">
        <v>34</v>
      </c>
      <c r="B94" s="271">
        <v>3385.49</v>
      </c>
      <c r="C94" s="272">
        <f t="shared" si="15"/>
        <v>10.449043209876542</v>
      </c>
      <c r="D94" s="272">
        <f t="shared" si="16"/>
        <v>4179.6172839506171</v>
      </c>
    </row>
    <row r="95" spans="1:4">
      <c r="A95" s="265" t="s">
        <v>27</v>
      </c>
      <c r="B95" s="271">
        <v>84387.15</v>
      </c>
      <c r="C95" s="272">
        <f t="shared" si="15"/>
        <v>260.45416666666665</v>
      </c>
      <c r="D95" s="272">
        <f t="shared" si="16"/>
        <v>104181.66666666666</v>
      </c>
    </row>
    <row r="96" spans="1:4">
      <c r="A96" s="265" t="s">
        <v>29</v>
      </c>
      <c r="B96" s="271"/>
      <c r="C96" s="272">
        <f t="shared" si="15"/>
        <v>0</v>
      </c>
      <c r="D96" s="272">
        <f t="shared" si="16"/>
        <v>0</v>
      </c>
    </row>
    <row r="97" spans="1:4">
      <c r="A97" s="265" t="s">
        <v>32</v>
      </c>
      <c r="B97" s="271">
        <v>24281.040000000001</v>
      </c>
      <c r="C97" s="272">
        <f t="shared" si="15"/>
        <v>74.941481481481489</v>
      </c>
      <c r="D97" s="272">
        <f t="shared" si="16"/>
        <v>29976.592592592595</v>
      </c>
    </row>
    <row r="98" spans="1:4">
      <c r="A98" s="265" t="s">
        <v>35</v>
      </c>
      <c r="B98" s="271">
        <v>10291.34</v>
      </c>
      <c r="C98" s="272">
        <f t="shared" si="15"/>
        <v>31.763395061728396</v>
      </c>
      <c r="D98" s="272">
        <f t="shared" si="16"/>
        <v>12705.358024691359</v>
      </c>
    </row>
    <row r="99" spans="1:4">
      <c r="A99" s="265" t="s">
        <v>37</v>
      </c>
      <c r="B99" s="271">
        <v>14408.57</v>
      </c>
      <c r="C99" s="272">
        <f t="shared" si="15"/>
        <v>44.470895061728392</v>
      </c>
      <c r="D99" s="272">
        <f t="shared" si="16"/>
        <v>17788.358024691355</v>
      </c>
    </row>
    <row r="100" spans="1:4">
      <c r="A100" s="265" t="s">
        <v>84</v>
      </c>
      <c r="B100" s="271">
        <v>1230</v>
      </c>
      <c r="C100" s="272">
        <f t="shared" si="15"/>
        <v>3.7962962962962963</v>
      </c>
      <c r="D100" s="272">
        <f t="shared" si="16"/>
        <v>1518.5185185185185</v>
      </c>
    </row>
    <row r="101" spans="1:4">
      <c r="A101" s="265" t="s">
        <v>40</v>
      </c>
      <c r="B101" s="273">
        <v>3526.92</v>
      </c>
      <c r="C101" s="272">
        <f t="shared" si="15"/>
        <v>10.885555555555555</v>
      </c>
      <c r="D101" s="272">
        <f t="shared" si="16"/>
        <v>4354.2222222222226</v>
      </c>
    </row>
    <row r="102" spans="1:4">
      <c r="A102" s="265" t="s">
        <v>234</v>
      </c>
      <c r="B102" s="270">
        <f t="shared" ref="B102:D102" si="17">+SUM(B93:B101)</f>
        <v>200324.94000000003</v>
      </c>
      <c r="C102" s="274">
        <f t="shared" si="17"/>
        <v>618.28685185185179</v>
      </c>
      <c r="D102" s="270">
        <f t="shared" si="17"/>
        <v>247314.7407407407</v>
      </c>
    </row>
    <row r="103" spans="1:4">
      <c r="B103" s="270"/>
      <c r="C103" s="272"/>
    </row>
    <row r="104" spans="1:4">
      <c r="A104" s="275" t="s">
        <v>235</v>
      </c>
      <c r="B104" s="270">
        <f>SUM(B90+B102)</f>
        <v>1518814.21</v>
      </c>
      <c r="C104" s="274">
        <f>SUM(C90+C102)</f>
        <v>4687.6981790123455</v>
      </c>
      <c r="D104" s="270">
        <f>SUM(D90+D102)</f>
        <v>1875079.2716049382</v>
      </c>
    </row>
    <row r="105" spans="1:4">
      <c r="B105" s="270"/>
      <c r="C105" s="272"/>
    </row>
    <row r="106" spans="1:4">
      <c r="B106" s="270"/>
      <c r="C106" s="272"/>
    </row>
    <row r="107" spans="1:4">
      <c r="B107" s="270"/>
      <c r="C107" s="272"/>
    </row>
    <row r="108" spans="1:4">
      <c r="A108" s="265" t="s">
        <v>50</v>
      </c>
      <c r="B108" s="271">
        <v>1912.5</v>
      </c>
      <c r="C108" s="272">
        <f t="shared" ref="C108:C121" si="18">B108/$C$10</f>
        <v>5.9027777777777777</v>
      </c>
      <c r="D108" s="272">
        <f t="shared" ref="D108:D121" si="19">C108*$D$10</f>
        <v>2361.1111111111109</v>
      </c>
    </row>
    <row r="109" spans="1:4">
      <c r="A109" s="265" t="s">
        <v>42</v>
      </c>
      <c r="B109" s="271">
        <v>91500</v>
      </c>
      <c r="C109" s="272">
        <f t="shared" si="18"/>
        <v>282.40740740740739</v>
      </c>
      <c r="D109" s="272">
        <f t="shared" si="19"/>
        <v>112962.96296296295</v>
      </c>
    </row>
    <row r="110" spans="1:4">
      <c r="A110" s="265" t="s">
        <v>238</v>
      </c>
      <c r="B110" s="271">
        <v>2844.99</v>
      </c>
      <c r="C110" s="272">
        <f t="shared" si="18"/>
        <v>8.7808333333333319</v>
      </c>
      <c r="D110" s="272">
        <f t="shared" si="19"/>
        <v>3512.3333333333326</v>
      </c>
    </row>
    <row r="111" spans="1:4">
      <c r="A111" s="265" t="s">
        <v>45</v>
      </c>
      <c r="B111" s="271"/>
      <c r="C111" s="272">
        <f t="shared" si="18"/>
        <v>0</v>
      </c>
      <c r="D111" s="272">
        <f t="shared" si="19"/>
        <v>0</v>
      </c>
    </row>
    <row r="112" spans="1:4">
      <c r="A112" s="265" t="s">
        <v>239</v>
      </c>
      <c r="B112" s="271">
        <v>3008.13</v>
      </c>
      <c r="C112" s="272">
        <f t="shared" si="18"/>
        <v>9.2843518518518522</v>
      </c>
      <c r="D112" s="272">
        <f t="shared" si="19"/>
        <v>3713.7407407407409</v>
      </c>
    </row>
    <row r="113" spans="1:4">
      <c r="A113" s="265" t="s">
        <v>240</v>
      </c>
      <c r="B113" s="271">
        <v>0</v>
      </c>
      <c r="C113" s="272">
        <f t="shared" si="18"/>
        <v>0</v>
      </c>
      <c r="D113" s="272">
        <f t="shared" si="19"/>
        <v>0</v>
      </c>
    </row>
    <row r="114" spans="1:4">
      <c r="A114" s="265" t="s">
        <v>49</v>
      </c>
      <c r="B114" s="271">
        <v>6118.62</v>
      </c>
      <c r="C114" s="272">
        <f t="shared" si="18"/>
        <v>18.884629629629629</v>
      </c>
      <c r="D114" s="272">
        <f t="shared" si="19"/>
        <v>7553.8518518518513</v>
      </c>
    </row>
    <row r="115" spans="1:4">
      <c r="A115" s="265" t="s">
        <v>166</v>
      </c>
      <c r="B115" s="271">
        <v>75</v>
      </c>
      <c r="C115" s="272">
        <f t="shared" si="18"/>
        <v>0.23148148148148148</v>
      </c>
      <c r="D115" s="272">
        <f t="shared" si="19"/>
        <v>92.592592592592595</v>
      </c>
    </row>
    <row r="116" spans="1:4">
      <c r="A116" s="265" t="s">
        <v>103</v>
      </c>
      <c r="B116" s="271"/>
      <c r="C116" s="272">
        <f t="shared" si="18"/>
        <v>0</v>
      </c>
      <c r="D116" s="272">
        <f t="shared" si="19"/>
        <v>0</v>
      </c>
    </row>
    <row r="117" spans="1:4">
      <c r="A117" s="265" t="s">
        <v>318</v>
      </c>
      <c r="B117" s="271">
        <v>486</v>
      </c>
      <c r="C117" s="272">
        <f t="shared" si="18"/>
        <v>1.5</v>
      </c>
      <c r="D117" s="272">
        <f t="shared" si="19"/>
        <v>600</v>
      </c>
    </row>
    <row r="118" spans="1:4">
      <c r="A118" s="265" t="s">
        <v>88</v>
      </c>
      <c r="B118" s="271">
        <v>9139.44</v>
      </c>
      <c r="C118" s="272">
        <f t="shared" si="18"/>
        <v>28.208148148148151</v>
      </c>
      <c r="D118" s="272">
        <f t="shared" si="19"/>
        <v>11283.259259259261</v>
      </c>
    </row>
    <row r="119" spans="1:4">
      <c r="A119" s="265" t="s">
        <v>90</v>
      </c>
      <c r="B119" s="271">
        <v>3408.36</v>
      </c>
      <c r="C119" s="272">
        <f t="shared" si="18"/>
        <v>10.51962962962963</v>
      </c>
      <c r="D119" s="272">
        <f t="shared" si="19"/>
        <v>4207.8518518518522</v>
      </c>
    </row>
    <row r="120" spans="1:4">
      <c r="A120" s="265" t="s">
        <v>414</v>
      </c>
      <c r="B120" s="271">
        <v>203188.13</v>
      </c>
      <c r="C120" s="272">
        <f t="shared" si="18"/>
        <v>627.12385802469134</v>
      </c>
      <c r="D120" s="272">
        <f t="shared" si="19"/>
        <v>250849.54320987655</v>
      </c>
    </row>
    <row r="121" spans="1:4">
      <c r="A121" s="265" t="s">
        <v>53</v>
      </c>
      <c r="B121" s="273">
        <f>232.5+30+9393.29</f>
        <v>9655.7900000000009</v>
      </c>
      <c r="C121" s="272">
        <f t="shared" si="18"/>
        <v>29.801820987654324</v>
      </c>
      <c r="D121" s="272">
        <f t="shared" si="19"/>
        <v>11920.728395061729</v>
      </c>
    </row>
    <row r="122" spans="1:4">
      <c r="A122" s="265" t="s">
        <v>241</v>
      </c>
      <c r="B122" s="270">
        <f>SUM(B108:B121)</f>
        <v>331336.96000000002</v>
      </c>
      <c r="C122" s="274">
        <f>SUM(C108:C121)</f>
        <v>1022.6449382716048</v>
      </c>
      <c r="D122" s="270">
        <f>SUM(D108:D121)</f>
        <v>409057.97530864197</v>
      </c>
    </row>
    <row r="123" spans="1:4">
      <c r="B123" s="270"/>
      <c r="C123" s="272"/>
    </row>
    <row r="124" spans="1:4">
      <c r="B124" s="270"/>
      <c r="C124" s="272"/>
    </row>
    <row r="125" spans="1:4">
      <c r="A125" s="265" t="s">
        <v>245</v>
      </c>
      <c r="B125" s="271"/>
      <c r="C125" s="272"/>
    </row>
    <row r="126" spans="1:4">
      <c r="A126" s="265" t="s">
        <v>246</v>
      </c>
      <c r="B126" s="271">
        <v>4198.59</v>
      </c>
      <c r="C126" s="272">
        <f t="shared" ref="C126:C132" si="20">B126/$C$10</f>
        <v>12.958611111111111</v>
      </c>
      <c r="D126" s="272">
        <f t="shared" ref="D126:D132" si="21">C126*$D$10</f>
        <v>5183.4444444444443</v>
      </c>
    </row>
    <row r="127" spans="1:4">
      <c r="A127" s="265" t="s">
        <v>247</v>
      </c>
      <c r="B127" s="271">
        <v>303</v>
      </c>
      <c r="C127" s="272">
        <f t="shared" si="20"/>
        <v>0.93518518518518523</v>
      </c>
      <c r="D127" s="272">
        <f t="shared" si="21"/>
        <v>374.07407407407408</v>
      </c>
    </row>
    <row r="128" spans="1:4">
      <c r="A128" s="265" t="s">
        <v>244</v>
      </c>
      <c r="B128" s="271"/>
      <c r="C128" s="272">
        <f t="shared" si="20"/>
        <v>0</v>
      </c>
      <c r="D128" s="272">
        <f t="shared" si="21"/>
        <v>0</v>
      </c>
    </row>
    <row r="129" spans="1:4">
      <c r="A129" s="265" t="s">
        <v>243</v>
      </c>
      <c r="B129" s="271"/>
      <c r="C129" s="272">
        <f t="shared" si="20"/>
        <v>0</v>
      </c>
      <c r="D129" s="272">
        <f t="shared" si="21"/>
        <v>0</v>
      </c>
    </row>
    <row r="130" spans="1:4">
      <c r="A130" s="265" t="s">
        <v>61</v>
      </c>
      <c r="B130" s="271">
        <v>9687.6200000000008</v>
      </c>
      <c r="C130" s="272">
        <f t="shared" si="20"/>
        <v>29.900061728395062</v>
      </c>
      <c r="D130" s="272">
        <f t="shared" si="21"/>
        <v>11960.024691358025</v>
      </c>
    </row>
    <row r="131" spans="1:4">
      <c r="A131" s="265" t="s">
        <v>412</v>
      </c>
      <c r="B131" s="271">
        <v>205799.76</v>
      </c>
      <c r="C131" s="272">
        <f t="shared" si="20"/>
        <v>635.18444444444447</v>
      </c>
      <c r="D131" s="272">
        <f t="shared" si="21"/>
        <v>254073.77777777778</v>
      </c>
    </row>
    <row r="132" spans="1:4">
      <c r="A132" s="265" t="s">
        <v>248</v>
      </c>
      <c r="B132" s="273">
        <v>12723.53</v>
      </c>
      <c r="C132" s="272">
        <f t="shared" si="20"/>
        <v>39.270154320987658</v>
      </c>
      <c r="D132" s="272">
        <f t="shared" si="21"/>
        <v>15708.061728395063</v>
      </c>
    </row>
    <row r="133" spans="1:4">
      <c r="A133" s="265" t="s">
        <v>249</v>
      </c>
      <c r="B133" s="270">
        <f>SUM(B125:B132)</f>
        <v>232712.5</v>
      </c>
      <c r="C133" s="274">
        <f>SUM(C125:C132)</f>
        <v>718.24845679012344</v>
      </c>
      <c r="D133" s="270">
        <f>SUM(D125:D132)</f>
        <v>287299.38271604938</v>
      </c>
    </row>
    <row r="134" spans="1:4">
      <c r="B134" s="270"/>
      <c r="C134" s="272"/>
    </row>
    <row r="135" spans="1:4">
      <c r="B135" s="270"/>
      <c r="C135" s="272"/>
    </row>
    <row r="136" spans="1:4">
      <c r="B136" s="270"/>
      <c r="C136" s="272"/>
    </row>
    <row r="137" spans="1:4">
      <c r="A137" s="265" t="s">
        <v>252</v>
      </c>
      <c r="B137" s="271">
        <v>4806.6899999999996</v>
      </c>
      <c r="C137" s="272">
        <f t="shared" ref="C137:C140" si="22">B137/$C$10</f>
        <v>14.835462962962962</v>
      </c>
      <c r="D137" s="272">
        <f t="shared" ref="D137:D140" si="23">C137*$D$10</f>
        <v>5934.1851851851852</v>
      </c>
    </row>
    <row r="138" spans="1:4">
      <c r="A138" s="265" t="s">
        <v>253</v>
      </c>
      <c r="B138" s="271">
        <v>55547.67</v>
      </c>
      <c r="C138" s="272">
        <f t="shared" si="22"/>
        <v>171.44342592592591</v>
      </c>
      <c r="D138" s="272">
        <f t="shared" si="23"/>
        <v>68577.370370370365</v>
      </c>
    </row>
    <row r="139" spans="1:4">
      <c r="A139" s="265" t="s">
        <v>418</v>
      </c>
      <c r="B139" s="271"/>
      <c r="C139" s="272">
        <f t="shared" si="22"/>
        <v>0</v>
      </c>
      <c r="D139" s="272">
        <f t="shared" si="23"/>
        <v>0</v>
      </c>
    </row>
    <row r="140" spans="1:4">
      <c r="A140" s="265" t="s">
        <v>254</v>
      </c>
      <c r="B140" s="273"/>
      <c r="C140" s="272">
        <f t="shared" si="22"/>
        <v>0</v>
      </c>
      <c r="D140" s="272">
        <f t="shared" si="23"/>
        <v>0</v>
      </c>
    </row>
    <row r="141" spans="1:4">
      <c r="A141" s="265" t="s">
        <v>255</v>
      </c>
      <c r="B141" s="270">
        <f>SUM(B137:B140)</f>
        <v>60354.36</v>
      </c>
      <c r="C141" s="274">
        <f>SUM(C137:C140)</f>
        <v>186.27888888888887</v>
      </c>
      <c r="D141" s="270">
        <f>SUM(D137:D140)</f>
        <v>74511.555555555547</v>
      </c>
    </row>
    <row r="142" spans="1:4">
      <c r="B142" s="270"/>
      <c r="C142" s="272"/>
    </row>
    <row r="143" spans="1:4">
      <c r="B143" s="270"/>
      <c r="C143" s="272"/>
    </row>
    <row r="144" spans="1:4">
      <c r="A144" s="265" t="s">
        <v>257</v>
      </c>
      <c r="B144" s="271">
        <v>1523.94</v>
      </c>
      <c r="C144" s="272">
        <f t="shared" ref="C144:C149" si="24">B144/$C$10</f>
        <v>4.7035185185185187</v>
      </c>
      <c r="D144" s="272">
        <f t="shared" ref="D144:D149" si="25">C144*$D$10</f>
        <v>1881.4074074074074</v>
      </c>
    </row>
    <row r="145" spans="1:4">
      <c r="A145" s="265" t="s">
        <v>258</v>
      </c>
      <c r="B145" s="271"/>
      <c r="C145" s="272">
        <f t="shared" si="24"/>
        <v>0</v>
      </c>
      <c r="D145" s="272">
        <f t="shared" si="25"/>
        <v>0</v>
      </c>
    </row>
    <row r="146" spans="1:4">
      <c r="A146" s="265" t="s">
        <v>259</v>
      </c>
      <c r="B146" s="271">
        <v>1942.97</v>
      </c>
      <c r="C146" s="272">
        <f t="shared" si="24"/>
        <v>5.9968209876543215</v>
      </c>
      <c r="D146" s="272">
        <f t="shared" si="25"/>
        <v>2398.7283950617284</v>
      </c>
    </row>
    <row r="147" spans="1:4">
      <c r="A147" s="265" t="s">
        <v>260</v>
      </c>
      <c r="B147" s="271">
        <v>4500</v>
      </c>
      <c r="C147" s="272">
        <f t="shared" si="24"/>
        <v>13.888888888888889</v>
      </c>
      <c r="D147" s="272">
        <f t="shared" si="25"/>
        <v>5555.5555555555557</v>
      </c>
    </row>
    <row r="148" spans="1:4">
      <c r="A148" s="265" t="s">
        <v>261</v>
      </c>
      <c r="B148" s="271">
        <v>5480.57</v>
      </c>
      <c r="C148" s="272">
        <f t="shared" si="24"/>
        <v>16.915339506172838</v>
      </c>
      <c r="D148" s="272">
        <f t="shared" si="25"/>
        <v>6766.1358024691353</v>
      </c>
    </row>
    <row r="149" spans="1:4">
      <c r="A149" s="265" t="s">
        <v>427</v>
      </c>
      <c r="B149" s="273">
        <v>12167.42</v>
      </c>
      <c r="C149" s="272">
        <f t="shared" si="24"/>
        <v>37.553765432098764</v>
      </c>
      <c r="D149" s="272">
        <f t="shared" si="25"/>
        <v>15021.506172839505</v>
      </c>
    </row>
    <row r="150" spans="1:4">
      <c r="A150" s="265" t="s">
        <v>262</v>
      </c>
      <c r="B150" s="270">
        <f>SUM(B144:B149)</f>
        <v>25614.9</v>
      </c>
      <c r="C150" s="274">
        <f>SUM(C144:C149)</f>
        <v>79.058333333333337</v>
      </c>
      <c r="D150" s="270">
        <f>SUM(D144:D149)</f>
        <v>31623.333333333332</v>
      </c>
    </row>
    <row r="151" spans="1:4">
      <c r="B151" s="270"/>
      <c r="C151" s="272"/>
    </row>
    <row r="152" spans="1:4">
      <c r="B152" s="270"/>
      <c r="C152" s="272"/>
    </row>
    <row r="153" spans="1:4">
      <c r="B153" s="270"/>
      <c r="C153" s="272"/>
    </row>
    <row r="154" spans="1:4">
      <c r="A154" s="265" t="s">
        <v>72</v>
      </c>
      <c r="B154" s="273">
        <v>8612.76</v>
      </c>
      <c r="C154" s="272">
        <f t="shared" ref="C154" si="26">B154/$C$10</f>
        <v>26.582592592592594</v>
      </c>
      <c r="D154" s="272">
        <f t="shared" ref="D154" si="27">C154*$D$10</f>
        <v>10633.037037037038</v>
      </c>
    </row>
    <row r="155" spans="1:4">
      <c r="A155" s="265" t="s">
        <v>265</v>
      </c>
      <c r="B155" s="270">
        <f>SUM(B154)</f>
        <v>8612.76</v>
      </c>
      <c r="C155" s="274">
        <f>SUM(C154)</f>
        <v>26.582592592592594</v>
      </c>
      <c r="D155" s="270">
        <f>SUM(D154)</f>
        <v>10633.037037037038</v>
      </c>
    </row>
    <row r="156" spans="1:4">
      <c r="B156" s="270"/>
      <c r="C156" s="272"/>
    </row>
    <row r="157" spans="1:4">
      <c r="B157" s="270"/>
      <c r="C157" s="272"/>
    </row>
    <row r="158" spans="1:4">
      <c r="A158" s="265" t="s">
        <v>74</v>
      </c>
      <c r="B158" s="271">
        <v>236276.59</v>
      </c>
      <c r="C158" s="272">
        <f t="shared" ref="C158:C170" si="28">B158/$C$10</f>
        <v>729.24873456790124</v>
      </c>
      <c r="D158" s="272">
        <f t="shared" ref="D158:D170" si="29">C158*$D$10</f>
        <v>291699.49382716051</v>
      </c>
    </row>
    <row r="159" spans="1:4">
      <c r="A159" s="265" t="s">
        <v>154</v>
      </c>
      <c r="B159" s="271">
        <v>8277.33</v>
      </c>
      <c r="C159" s="272">
        <f t="shared" si="28"/>
        <v>25.547314814814815</v>
      </c>
      <c r="D159" s="272">
        <f t="shared" si="29"/>
        <v>10218.925925925925</v>
      </c>
    </row>
    <row r="160" spans="1:4">
      <c r="A160" s="265" t="s">
        <v>97</v>
      </c>
      <c r="B160" s="271">
        <v>7203.98</v>
      </c>
      <c r="C160" s="272">
        <f t="shared" si="28"/>
        <v>22.234506172839506</v>
      </c>
      <c r="D160" s="272">
        <f t="shared" si="29"/>
        <v>8893.8024691358023</v>
      </c>
    </row>
    <row r="161" spans="1:4">
      <c r="A161" s="265" t="s">
        <v>421</v>
      </c>
      <c r="B161" s="271">
        <v>3615.99</v>
      </c>
      <c r="C161" s="272">
        <f t="shared" si="28"/>
        <v>11.160462962962962</v>
      </c>
      <c r="D161" s="272">
        <f t="shared" si="29"/>
        <v>4464.1851851851843</v>
      </c>
    </row>
    <row r="162" spans="1:4">
      <c r="A162" s="265" t="s">
        <v>423</v>
      </c>
      <c r="B162" s="271">
        <v>67806.289999999994</v>
      </c>
      <c r="C162" s="272">
        <f t="shared" si="28"/>
        <v>209.27867283950616</v>
      </c>
      <c r="D162" s="272">
        <f t="shared" si="29"/>
        <v>83711.469135802457</v>
      </c>
    </row>
    <row r="163" spans="1:4">
      <c r="A163" s="265" t="s">
        <v>416</v>
      </c>
      <c r="B163" s="271">
        <v>29.16</v>
      </c>
      <c r="C163" s="272">
        <f t="shared" si="28"/>
        <v>0.09</v>
      </c>
      <c r="D163" s="272">
        <f t="shared" si="29"/>
        <v>36</v>
      </c>
    </row>
    <row r="164" spans="1:4">
      <c r="A164" s="265" t="s">
        <v>155</v>
      </c>
      <c r="B164" s="271">
        <v>129352.09</v>
      </c>
      <c r="C164" s="272">
        <f t="shared" si="28"/>
        <v>399.23484567901232</v>
      </c>
      <c r="D164" s="272">
        <f t="shared" si="29"/>
        <v>159693.93827160494</v>
      </c>
    </row>
    <row r="165" spans="1:4">
      <c r="A165" s="265" t="s">
        <v>156</v>
      </c>
      <c r="B165" s="271">
        <v>0</v>
      </c>
      <c r="C165" s="272">
        <f t="shared" si="28"/>
        <v>0</v>
      </c>
      <c r="D165" s="272">
        <f t="shared" si="29"/>
        <v>0</v>
      </c>
    </row>
    <row r="166" spans="1:4">
      <c r="A166" s="265" t="s">
        <v>157</v>
      </c>
      <c r="B166" s="271">
        <v>0</v>
      </c>
      <c r="C166" s="272">
        <f t="shared" si="28"/>
        <v>0</v>
      </c>
      <c r="D166" s="272">
        <f t="shared" si="29"/>
        <v>0</v>
      </c>
    </row>
    <row r="167" spans="1:4">
      <c r="A167" s="265" t="s">
        <v>158</v>
      </c>
      <c r="B167" s="271">
        <v>92000</v>
      </c>
      <c r="C167" s="272">
        <f t="shared" si="28"/>
        <v>283.95061728395063</v>
      </c>
      <c r="D167" s="272">
        <f t="shared" si="29"/>
        <v>113580.24691358025</v>
      </c>
    </row>
    <row r="168" spans="1:4">
      <c r="A168" s="265" t="s">
        <v>159</v>
      </c>
      <c r="B168" s="271">
        <v>0</v>
      </c>
      <c r="C168" s="272">
        <f t="shared" si="28"/>
        <v>0</v>
      </c>
      <c r="D168" s="272">
        <f t="shared" si="29"/>
        <v>0</v>
      </c>
    </row>
    <row r="169" spans="1:4">
      <c r="A169" s="265" t="s">
        <v>160</v>
      </c>
      <c r="B169" s="271">
        <v>0</v>
      </c>
      <c r="C169" s="272">
        <f t="shared" si="28"/>
        <v>0</v>
      </c>
      <c r="D169" s="272">
        <f t="shared" si="29"/>
        <v>0</v>
      </c>
    </row>
    <row r="170" spans="1:4">
      <c r="A170" s="265" t="s">
        <v>162</v>
      </c>
      <c r="B170" s="273">
        <v>0</v>
      </c>
      <c r="C170" s="272">
        <f t="shared" si="28"/>
        <v>0</v>
      </c>
      <c r="D170" s="272">
        <f t="shared" si="29"/>
        <v>0</v>
      </c>
    </row>
    <row r="171" spans="1:4">
      <c r="A171" s="265" t="s">
        <v>163</v>
      </c>
      <c r="B171" s="270">
        <f>SUM(B158:B170)</f>
        <v>544561.42999999993</v>
      </c>
      <c r="C171" s="274">
        <f>SUM(C158:C170)</f>
        <v>1680.7451543209877</v>
      </c>
      <c r="D171" s="270">
        <f>SUM(D158:D170)</f>
        <v>672298.06172839506</v>
      </c>
    </row>
    <row r="172" spans="1:4">
      <c r="B172" s="270"/>
      <c r="C172" s="272"/>
    </row>
    <row r="173" spans="1:4">
      <c r="B173" s="270"/>
      <c r="C173" s="272"/>
    </row>
    <row r="174" spans="1:4">
      <c r="B174" s="270"/>
      <c r="C174" s="272"/>
    </row>
    <row r="175" spans="1:4">
      <c r="A175" s="265" t="s">
        <v>85</v>
      </c>
      <c r="B175" s="271">
        <v>475135.8</v>
      </c>
      <c r="C175" s="272">
        <f t="shared" ref="C175:C185" si="30">B175/$C$10</f>
        <v>1466.4685185185185</v>
      </c>
      <c r="D175" s="272">
        <f t="shared" ref="D175:D185" si="31">C175*$D$10</f>
        <v>586587.40740740742</v>
      </c>
    </row>
    <row r="176" spans="1:4">
      <c r="A176" s="265" t="s">
        <v>92</v>
      </c>
      <c r="B176" s="271">
        <v>847.46</v>
      </c>
      <c r="C176" s="272">
        <f t="shared" si="30"/>
        <v>2.6156172839506175</v>
      </c>
      <c r="D176" s="272">
        <f t="shared" si="31"/>
        <v>1046.2469135802471</v>
      </c>
    </row>
    <row r="177" spans="1:4">
      <c r="A177" s="265" t="s">
        <v>94</v>
      </c>
      <c r="B177" s="271"/>
      <c r="C177" s="272">
        <f t="shared" si="30"/>
        <v>0</v>
      </c>
      <c r="D177" s="272">
        <f t="shared" si="31"/>
        <v>0</v>
      </c>
    </row>
    <row r="178" spans="1:4">
      <c r="A178" s="265" t="s">
        <v>405</v>
      </c>
      <c r="B178" s="271"/>
      <c r="C178" s="272">
        <f t="shared" si="30"/>
        <v>0</v>
      </c>
      <c r="D178" s="272">
        <f t="shared" si="31"/>
        <v>0</v>
      </c>
    </row>
    <row r="179" spans="1:4">
      <c r="A179" s="265" t="s">
        <v>404</v>
      </c>
      <c r="B179" s="271"/>
      <c r="C179" s="272">
        <f t="shared" si="30"/>
        <v>0</v>
      </c>
      <c r="D179" s="272">
        <f t="shared" si="31"/>
        <v>0</v>
      </c>
    </row>
    <row r="180" spans="1:4">
      <c r="A180" s="265" t="s">
        <v>99</v>
      </c>
      <c r="B180" s="271"/>
      <c r="C180" s="272">
        <f t="shared" si="30"/>
        <v>0</v>
      </c>
      <c r="D180" s="272">
        <f t="shared" si="31"/>
        <v>0</v>
      </c>
    </row>
    <row r="181" spans="1:4">
      <c r="A181" s="265" t="s">
        <v>284</v>
      </c>
      <c r="B181" s="271">
        <v>4914</v>
      </c>
      <c r="C181" s="272">
        <f t="shared" si="30"/>
        <v>15.166666666666666</v>
      </c>
      <c r="D181" s="272">
        <f t="shared" si="31"/>
        <v>6066.6666666666661</v>
      </c>
    </row>
    <row r="182" spans="1:4">
      <c r="A182" s="265" t="s">
        <v>102</v>
      </c>
      <c r="B182" s="271"/>
      <c r="C182" s="272">
        <f t="shared" si="30"/>
        <v>0</v>
      </c>
      <c r="D182" s="272">
        <f t="shared" si="31"/>
        <v>0</v>
      </c>
    </row>
    <row r="183" spans="1:4">
      <c r="A183" s="265" t="s">
        <v>167</v>
      </c>
      <c r="B183" s="271"/>
      <c r="C183" s="272">
        <f t="shared" si="30"/>
        <v>0</v>
      </c>
      <c r="D183" s="272">
        <f t="shared" si="31"/>
        <v>0</v>
      </c>
    </row>
    <row r="184" spans="1:4">
      <c r="A184" s="265" t="s">
        <v>107</v>
      </c>
      <c r="B184" s="271">
        <v>1957.43</v>
      </c>
      <c r="C184" s="272">
        <f t="shared" si="30"/>
        <v>6.0414506172839504</v>
      </c>
      <c r="D184" s="272">
        <f t="shared" si="31"/>
        <v>2416.5802469135801</v>
      </c>
    </row>
    <row r="185" spans="1:4">
      <c r="A185" s="265" t="s">
        <v>429</v>
      </c>
      <c r="B185" s="273"/>
      <c r="C185" s="272">
        <f t="shared" si="30"/>
        <v>0</v>
      </c>
      <c r="D185" s="272">
        <f t="shared" si="31"/>
        <v>0</v>
      </c>
    </row>
    <row r="186" spans="1:4">
      <c r="A186" s="265" t="s">
        <v>168</v>
      </c>
      <c r="B186" s="270">
        <f>SUM(B175:B185)</f>
        <v>482854.69</v>
      </c>
      <c r="C186" s="270">
        <f>SUM(C175:C185)</f>
        <v>1490.2922530864198</v>
      </c>
      <c r="D186" s="270">
        <f>SUM(D175:D185)</f>
        <v>596116.90123456786</v>
      </c>
    </row>
    <row r="187" spans="1:4">
      <c r="B187" s="270"/>
    </row>
    <row r="188" spans="1:4">
      <c r="A188" s="275" t="s">
        <v>169</v>
      </c>
      <c r="B188" s="270">
        <f>SUM(B122+B133+B141+B150+B155+B171+B186)</f>
        <v>1686047.5999999999</v>
      </c>
      <c r="C188" s="270">
        <f>SUM(C122+C133+C141+C150+C155+C171+C186)</f>
        <v>5203.8506172839507</v>
      </c>
      <c r="D188" s="270">
        <f>SUM(D122+D133+D141+D150+D155+D171+D186)</f>
        <v>2081540.2469135802</v>
      </c>
    </row>
    <row r="189" spans="1:4">
      <c r="B189" s="270"/>
    </row>
    <row r="190" spans="1:4">
      <c r="A190" s="275" t="s">
        <v>435</v>
      </c>
      <c r="B190" s="270">
        <f>SUM(B104+B188)</f>
        <v>3204861.8099999996</v>
      </c>
      <c r="C190" s="270">
        <f>SUM(C104+C188)</f>
        <v>9891.5487962962961</v>
      </c>
      <c r="D190" s="270">
        <f>SUM(D104+D188)</f>
        <v>3956619.5185185187</v>
      </c>
    </row>
    <row r="191" spans="1:4">
      <c r="B191" s="270"/>
    </row>
    <row r="192" spans="1:4">
      <c r="A192" s="275" t="s">
        <v>170</v>
      </c>
      <c r="B192" s="270">
        <f>+B68-B104-B188</f>
        <v>60747.570000000065</v>
      </c>
      <c r="C192" s="270">
        <f>+C68-C104-C188</f>
        <v>187.49250000000211</v>
      </c>
      <c r="D192" s="270">
        <f>+D68-D104-D188</f>
        <v>74997</v>
      </c>
    </row>
    <row r="196" spans="1:1">
      <c r="A196" s="276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/>
  <dimension ref="A1:A188"/>
  <sheetViews>
    <sheetView workbookViewId="0">
      <selection activeCell="D19" sqref="D19"/>
    </sheetView>
  </sheetViews>
  <sheetFormatPr baseColWidth="10" defaultColWidth="8.7109375" defaultRowHeight="13" x14ac:dyDescent="0"/>
  <sheetData>
    <row r="1" spans="1:1">
      <c r="A1" t="s">
        <v>364</v>
      </c>
    </row>
    <row r="2" spans="1:1">
      <c r="A2" s="15"/>
    </row>
    <row r="3" spans="1:1">
      <c r="A3" s="15"/>
    </row>
    <row r="4" spans="1:1">
      <c r="A4" s="15"/>
    </row>
    <row r="5" spans="1:1">
      <c r="A5" s="15"/>
    </row>
    <row r="6" spans="1:1">
      <c r="A6" s="15"/>
    </row>
    <row r="7" spans="1:1">
      <c r="A7" s="15"/>
    </row>
    <row r="8" spans="1:1">
      <c r="A8" s="15"/>
    </row>
    <row r="9" spans="1:1">
      <c r="A9" s="15"/>
    </row>
    <row r="10" spans="1:1">
      <c r="A10" s="15"/>
    </row>
    <row r="11" spans="1:1">
      <c r="A11" s="15"/>
    </row>
    <row r="12" spans="1:1">
      <c r="A12" s="15"/>
    </row>
    <row r="13" spans="1:1">
      <c r="A13" s="15"/>
    </row>
    <row r="14" spans="1:1">
      <c r="A14" s="15"/>
    </row>
    <row r="15" spans="1:1">
      <c r="A15" s="15"/>
    </row>
    <row r="16" spans="1:1">
      <c r="A16" s="15"/>
    </row>
    <row r="68" s="5" customFormat="1"/>
    <row r="103" s="5" customFormat="1"/>
    <row r="185" s="5" customFormat="1"/>
    <row r="188" s="5" customFormat="1"/>
  </sheetData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196"/>
  <sheetViews>
    <sheetView workbookViewId="0">
      <pane xSplit="2" ySplit="10" topLeftCell="C68" activePane="bottomRight" state="frozen"/>
      <selection pane="topRight" activeCell="C1" sqref="C1"/>
      <selection pane="bottomLeft" activeCell="A11" sqref="A11"/>
      <selection pane="bottomRight" activeCell="M77" sqref="M77"/>
    </sheetView>
  </sheetViews>
  <sheetFormatPr baseColWidth="10" defaultColWidth="8.7109375" defaultRowHeight="13" outlineLevelRow="1" x14ac:dyDescent="0"/>
  <cols>
    <col min="1" max="1" width="15" style="31" customWidth="1"/>
    <col min="2" max="2" width="26.85546875" style="31" customWidth="1"/>
    <col min="3" max="3" width="13" style="30" customWidth="1"/>
    <col min="4" max="4" width="12.5703125" style="30" bestFit="1" customWidth="1"/>
    <col min="5" max="5" width="8.7109375" style="30"/>
    <col min="6" max="6" width="3.42578125" style="30" customWidth="1"/>
    <col min="7" max="7" width="8.5703125" bestFit="1" customWidth="1"/>
    <col min="9" max="11" width="11" bestFit="1" customWidth="1"/>
    <col min="13" max="13" width="10.42578125" style="30" bestFit="1" customWidth="1"/>
    <col min="14" max="14" width="8.5703125" bestFit="1" customWidth="1"/>
    <col min="15" max="15" width="11.140625" customWidth="1"/>
  </cols>
  <sheetData>
    <row r="2" spans="1:15">
      <c r="B2" s="30" t="s">
        <v>614</v>
      </c>
    </row>
    <row r="3" spans="1:15">
      <c r="B3" s="174" t="s">
        <v>584</v>
      </c>
    </row>
    <row r="4" spans="1:15">
      <c r="A4" s="31" t="s">
        <v>433</v>
      </c>
      <c r="B4" s="32">
        <v>490</v>
      </c>
      <c r="C4" s="176">
        <v>0.39043824701195218</v>
      </c>
    </row>
    <row r="5" spans="1:15">
      <c r="A5" s="31" t="s">
        <v>586</v>
      </c>
      <c r="B5" s="32">
        <v>150</v>
      </c>
      <c r="C5" s="176">
        <v>0.11952191235059761</v>
      </c>
    </row>
    <row r="6" spans="1:15">
      <c r="A6" s="31" t="s">
        <v>434</v>
      </c>
      <c r="B6" s="32">
        <v>215</v>
      </c>
      <c r="C6" s="176">
        <v>0.17131474103585656</v>
      </c>
    </row>
    <row r="7" spans="1:15">
      <c r="A7" s="28" t="s">
        <v>587</v>
      </c>
      <c r="B7" s="32">
        <v>400</v>
      </c>
      <c r="C7" s="176">
        <v>0.31872509960159362</v>
      </c>
      <c r="D7" s="116"/>
      <c r="E7" s="116"/>
      <c r="F7" s="116"/>
      <c r="I7" s="287">
        <f>SUM(B4:B5)</f>
        <v>640</v>
      </c>
      <c r="J7" s="287">
        <f>SUM(B6)</f>
        <v>215</v>
      </c>
      <c r="K7" s="287">
        <f>SUM(B7)</f>
        <v>400</v>
      </c>
      <c r="M7" s="116"/>
      <c r="O7" s="287">
        <f>SUM(I7:K7)</f>
        <v>1255</v>
      </c>
    </row>
    <row r="8" spans="1:15">
      <c r="B8" s="175">
        <f>SUM(B4:B7)</f>
        <v>1255</v>
      </c>
      <c r="C8" s="92" t="s">
        <v>576</v>
      </c>
      <c r="D8" s="118" t="s">
        <v>577</v>
      </c>
      <c r="E8" s="98" t="s">
        <v>604</v>
      </c>
      <c r="F8" s="284"/>
      <c r="G8" s="277" t="s">
        <v>645</v>
      </c>
      <c r="I8" s="92" t="s">
        <v>576</v>
      </c>
      <c r="J8" s="118" t="s">
        <v>577</v>
      </c>
      <c r="K8" s="98" t="s">
        <v>604</v>
      </c>
      <c r="M8" s="104" t="s">
        <v>500</v>
      </c>
      <c r="N8" s="277" t="s">
        <v>645</v>
      </c>
      <c r="O8" s="104" t="s">
        <v>500</v>
      </c>
    </row>
    <row r="9" spans="1:15">
      <c r="C9" s="125" t="s">
        <v>453</v>
      </c>
      <c r="D9" s="124" t="s">
        <v>453</v>
      </c>
      <c r="E9" s="123" t="s">
        <v>453</v>
      </c>
      <c r="F9" s="285"/>
      <c r="G9" s="281"/>
      <c r="I9" s="125" t="s">
        <v>588</v>
      </c>
      <c r="J9" s="124" t="s">
        <v>588</v>
      </c>
      <c r="K9" s="123" t="s">
        <v>588</v>
      </c>
      <c r="M9" s="159" t="s">
        <v>453</v>
      </c>
      <c r="N9" s="281"/>
      <c r="O9" s="159" t="s">
        <v>588</v>
      </c>
    </row>
    <row r="10" spans="1:15" ht="14" thickBot="1">
      <c r="A10" s="33"/>
      <c r="B10" s="33" t="s">
        <v>174</v>
      </c>
      <c r="C10" s="93" t="s">
        <v>642</v>
      </c>
      <c r="D10" s="119" t="s">
        <v>642</v>
      </c>
      <c r="E10" s="99" t="s">
        <v>642</v>
      </c>
      <c r="F10" s="286"/>
      <c r="G10" s="281"/>
      <c r="I10" s="93" t="s">
        <v>454</v>
      </c>
      <c r="J10" s="119" t="s">
        <v>454</v>
      </c>
      <c r="K10" s="99" t="s">
        <v>454</v>
      </c>
      <c r="M10" s="105" t="s">
        <v>642</v>
      </c>
      <c r="N10" s="281"/>
      <c r="O10" s="105" t="s">
        <v>454</v>
      </c>
    </row>
    <row r="11" spans="1:15">
      <c r="A11" s="31" t="s">
        <v>268</v>
      </c>
      <c r="C11" s="91"/>
      <c r="D11" s="117"/>
      <c r="E11" s="97"/>
      <c r="G11" s="281"/>
      <c r="M11" s="103"/>
      <c r="N11" s="281"/>
    </row>
    <row r="12" spans="1:15" outlineLevel="1">
      <c r="A12" s="31" t="s">
        <v>269</v>
      </c>
      <c r="C12" s="91"/>
      <c r="D12" s="117"/>
      <c r="E12" s="97"/>
      <c r="G12" s="282"/>
      <c r="M12" s="103"/>
      <c r="N12" s="282"/>
    </row>
    <row r="13" spans="1:15" outlineLevel="1">
      <c r="A13" s="31" t="s">
        <v>171</v>
      </c>
      <c r="B13" s="31" t="s">
        <v>270</v>
      </c>
      <c r="C13" s="95">
        <v>0</v>
      </c>
      <c r="D13" s="120"/>
      <c r="E13" s="100"/>
      <c r="F13" s="50"/>
      <c r="G13" s="282">
        <f>SUM(C13:E13)/SUM(SUM!$C$4:$C$7)</f>
        <v>0</v>
      </c>
      <c r="I13" s="288">
        <f t="shared" ref="I13:K37" si="0">SUM(I$7*$G13)</f>
        <v>0</v>
      </c>
      <c r="J13" s="288">
        <f t="shared" si="0"/>
        <v>0</v>
      </c>
      <c r="K13" s="288">
        <f t="shared" si="0"/>
        <v>0</v>
      </c>
      <c r="M13" s="106"/>
      <c r="N13" s="282">
        <f>SUM(M13/SUM(SUM!$C$4:$C$7))</f>
        <v>0</v>
      </c>
    </row>
    <row r="14" spans="1:15" outlineLevel="1">
      <c r="A14" s="31" t="s">
        <v>172</v>
      </c>
      <c r="B14" s="31" t="s">
        <v>271</v>
      </c>
      <c r="C14" s="95">
        <v>92764.62</v>
      </c>
      <c r="D14" s="121">
        <v>13828.14</v>
      </c>
      <c r="E14" s="101">
        <v>26686.240000000002</v>
      </c>
      <c r="F14" s="60"/>
      <c r="G14" s="282">
        <f>SUM(C14:E14)/SUM(SUM!$C$4:$C$7)</f>
        <v>125.73490566037736</v>
      </c>
      <c r="I14" s="288">
        <f t="shared" si="0"/>
        <v>80470.339622641506</v>
      </c>
      <c r="J14" s="288">
        <f t="shared" si="0"/>
        <v>27033.004716981133</v>
      </c>
      <c r="K14" s="288">
        <f t="shared" si="0"/>
        <v>50293.962264150949</v>
      </c>
      <c r="M14" s="107">
        <f>26960.34+35490</f>
        <v>62450.34</v>
      </c>
      <c r="N14" s="282">
        <f>SUM(M14/SUM(SUM!$C$4:$C$7))</f>
        <v>58.915415094339622</v>
      </c>
      <c r="O14" s="282">
        <f>SUM(N14*$O$7)</f>
        <v>73938.845943396227</v>
      </c>
    </row>
    <row r="15" spans="1:15" outlineLevel="1">
      <c r="A15" s="31" t="s">
        <v>173</v>
      </c>
      <c r="B15" s="31" t="s">
        <v>272</v>
      </c>
      <c r="C15" s="95">
        <v>0</v>
      </c>
      <c r="D15" s="121"/>
      <c r="E15" s="101"/>
      <c r="F15" s="60"/>
      <c r="G15" s="282">
        <f>SUM(C15:E15)/SUM(SUM!$C$4:$C$7)</f>
        <v>0</v>
      </c>
      <c r="I15" s="288">
        <f t="shared" si="0"/>
        <v>0</v>
      </c>
      <c r="J15" s="288">
        <f t="shared" si="0"/>
        <v>0</v>
      </c>
      <c r="K15" s="288">
        <f t="shared" si="0"/>
        <v>0</v>
      </c>
      <c r="M15" s="107"/>
      <c r="N15" s="282">
        <f>SUM(M15/SUM(SUM!$C$4:$C$7))</f>
        <v>0</v>
      </c>
      <c r="O15" s="282">
        <f t="shared" ref="O15:O37" si="1">SUM(N15*$O$7)</f>
        <v>0</v>
      </c>
    </row>
    <row r="16" spans="1:15" outlineLevel="1">
      <c r="A16" s="31" t="s">
        <v>193</v>
      </c>
      <c r="B16" s="31" t="s">
        <v>273</v>
      </c>
      <c r="C16" s="95">
        <v>78760</v>
      </c>
      <c r="D16" s="121">
        <v>14786.23</v>
      </c>
      <c r="E16" s="101">
        <v>24204.63</v>
      </c>
      <c r="F16" s="60"/>
      <c r="G16" s="282">
        <f>SUM(C16:E16)/SUM(SUM!$C$4:$C$7)</f>
        <v>111.08571698113208</v>
      </c>
      <c r="I16" s="288">
        <f t="shared" si="0"/>
        <v>71094.858867924529</v>
      </c>
      <c r="J16" s="288">
        <f t="shared" si="0"/>
        <v>23883.429150943397</v>
      </c>
      <c r="K16" s="288">
        <f t="shared" si="0"/>
        <v>44434.286792452833</v>
      </c>
      <c r="M16" s="107">
        <v>16520.25</v>
      </c>
      <c r="N16" s="282">
        <f>SUM(M16/SUM(SUM!$C$4:$C$7))</f>
        <v>15.585141509433962</v>
      </c>
      <c r="O16" s="282">
        <f t="shared" si="1"/>
        <v>19559.352594339623</v>
      </c>
    </row>
    <row r="17" spans="1:15" outlineLevel="1">
      <c r="A17" s="31" t="s">
        <v>194</v>
      </c>
      <c r="B17" s="31" t="s">
        <v>274</v>
      </c>
      <c r="C17" s="95">
        <v>146422.85999999999</v>
      </c>
      <c r="D17" s="121">
        <v>41185.5</v>
      </c>
      <c r="E17" s="101">
        <v>35476.379999999997</v>
      </c>
      <c r="F17" s="60"/>
      <c r="G17" s="282">
        <f>SUM(C17:E17)/SUM(SUM!$C$4:$C$7)</f>
        <v>210.45730188679244</v>
      </c>
      <c r="I17" s="288">
        <f t="shared" si="0"/>
        <v>134692.67320754717</v>
      </c>
      <c r="J17" s="288">
        <f t="shared" si="0"/>
        <v>45248.319905660377</v>
      </c>
      <c r="K17" s="288">
        <f t="shared" si="0"/>
        <v>84182.920754716979</v>
      </c>
      <c r="M17" s="107"/>
      <c r="N17" s="282">
        <f>SUM(M17/SUM(SUM!$C$4:$C$7))</f>
        <v>0</v>
      </c>
      <c r="O17" s="282">
        <f t="shared" si="1"/>
        <v>0</v>
      </c>
    </row>
    <row r="18" spans="1:15" outlineLevel="1">
      <c r="A18" s="31" t="s">
        <v>195</v>
      </c>
      <c r="B18" s="31" t="s">
        <v>275</v>
      </c>
      <c r="C18" s="95">
        <v>0</v>
      </c>
      <c r="D18" s="121"/>
      <c r="E18" s="101"/>
      <c r="F18" s="60"/>
      <c r="G18" s="282">
        <f>SUM(C18:E18)/SUM(SUM!$C$4:$C$7)</f>
        <v>0</v>
      </c>
      <c r="I18" s="288">
        <f t="shared" si="0"/>
        <v>0</v>
      </c>
      <c r="J18" s="288">
        <f t="shared" si="0"/>
        <v>0</v>
      </c>
      <c r="K18" s="288">
        <f t="shared" si="0"/>
        <v>0</v>
      </c>
      <c r="M18" s="107"/>
      <c r="N18" s="282">
        <f>SUM(M18/SUM(SUM!$C$4:$C$7))</f>
        <v>0</v>
      </c>
      <c r="O18" s="282">
        <f t="shared" si="1"/>
        <v>0</v>
      </c>
    </row>
    <row r="19" spans="1:15" outlineLevel="1">
      <c r="A19" s="31" t="s">
        <v>196</v>
      </c>
      <c r="B19" s="31" t="s">
        <v>276</v>
      </c>
      <c r="C19" s="95">
        <v>0</v>
      </c>
      <c r="D19" s="121"/>
      <c r="E19" s="101"/>
      <c r="F19" s="60"/>
      <c r="G19" s="282">
        <f>SUM(C19:E19)/SUM(SUM!$C$4:$C$7)</f>
        <v>0</v>
      </c>
      <c r="I19" s="288">
        <f t="shared" si="0"/>
        <v>0</v>
      </c>
      <c r="J19" s="288">
        <f t="shared" si="0"/>
        <v>0</v>
      </c>
      <c r="K19" s="288">
        <f t="shared" si="0"/>
        <v>0</v>
      </c>
      <c r="M19" s="107"/>
      <c r="N19" s="282">
        <f>SUM(M19/SUM(SUM!$C$4:$C$7))</f>
        <v>0</v>
      </c>
      <c r="O19" s="282">
        <f t="shared" si="1"/>
        <v>0</v>
      </c>
    </row>
    <row r="20" spans="1:15" outlineLevel="1">
      <c r="A20" s="31" t="s">
        <v>197</v>
      </c>
      <c r="B20" s="31" t="s">
        <v>277</v>
      </c>
      <c r="C20" s="95">
        <v>0</v>
      </c>
      <c r="D20" s="121"/>
      <c r="E20" s="101"/>
      <c r="F20" s="60"/>
      <c r="G20" s="282">
        <f>SUM(C20:E20)/SUM(SUM!$C$4:$C$7)</f>
        <v>0</v>
      </c>
      <c r="I20" s="288">
        <f t="shared" si="0"/>
        <v>0</v>
      </c>
      <c r="J20" s="288">
        <f t="shared" si="0"/>
        <v>0</v>
      </c>
      <c r="K20" s="288">
        <f t="shared" si="0"/>
        <v>0</v>
      </c>
      <c r="M20" s="107"/>
      <c r="N20" s="282">
        <f>SUM(M20/SUM(SUM!$C$4:$C$7))</f>
        <v>0</v>
      </c>
      <c r="O20" s="282">
        <f t="shared" si="1"/>
        <v>0</v>
      </c>
    </row>
    <row r="21" spans="1:15" outlineLevel="1">
      <c r="A21" s="31" t="s">
        <v>198</v>
      </c>
      <c r="B21" s="31" t="s">
        <v>278</v>
      </c>
      <c r="C21" s="95">
        <v>69757.679999999993</v>
      </c>
      <c r="D21" s="121">
        <v>18427.580000000002</v>
      </c>
      <c r="E21" s="101">
        <v>40802.480000000003</v>
      </c>
      <c r="F21" s="60"/>
      <c r="G21" s="282">
        <f>SUM(C21:E21)/SUM(SUM!$C$4:$C$7)</f>
        <v>121.68654716981131</v>
      </c>
      <c r="I21" s="288">
        <f t="shared" si="0"/>
        <v>77879.39018867923</v>
      </c>
      <c r="J21" s="288">
        <f t="shared" si="0"/>
        <v>26162.607641509432</v>
      </c>
      <c r="K21" s="288">
        <f t="shared" si="0"/>
        <v>48674.618867924524</v>
      </c>
      <c r="M21" s="107"/>
      <c r="N21" s="282">
        <f>SUM(M21/SUM(SUM!$C$4:$C$7))</f>
        <v>0</v>
      </c>
      <c r="O21" s="282">
        <f t="shared" si="1"/>
        <v>0</v>
      </c>
    </row>
    <row r="22" spans="1:15" outlineLevel="1">
      <c r="A22" s="31" t="s">
        <v>199</v>
      </c>
      <c r="B22" s="31" t="s">
        <v>279</v>
      </c>
      <c r="C22" s="95">
        <v>0</v>
      </c>
      <c r="D22" s="121"/>
      <c r="E22" s="101"/>
      <c r="F22" s="60"/>
      <c r="G22" s="282">
        <f>SUM(C22:E22)/SUM(SUM!$C$4:$C$7)</f>
        <v>0</v>
      </c>
      <c r="I22" s="288">
        <f t="shared" si="0"/>
        <v>0</v>
      </c>
      <c r="J22" s="288">
        <f t="shared" si="0"/>
        <v>0</v>
      </c>
      <c r="K22" s="288">
        <f t="shared" si="0"/>
        <v>0</v>
      </c>
      <c r="M22" s="107"/>
      <c r="N22" s="282">
        <f>SUM(M22/SUM(SUM!$C$4:$C$7))</f>
        <v>0</v>
      </c>
      <c r="O22" s="282">
        <f t="shared" si="1"/>
        <v>0</v>
      </c>
    </row>
    <row r="23" spans="1:15" outlineLevel="1">
      <c r="A23" s="31" t="s">
        <v>200</v>
      </c>
      <c r="B23" s="31" t="s">
        <v>280</v>
      </c>
      <c r="C23" s="95">
        <v>1249</v>
      </c>
      <c r="D23" s="121"/>
      <c r="E23" s="101">
        <v>45</v>
      </c>
      <c r="F23" s="60"/>
      <c r="G23" s="282">
        <f>SUM(C23:E23)/SUM(SUM!$C$4:$C$7)</f>
        <v>1.2207547169811321</v>
      </c>
      <c r="I23" s="288">
        <f t="shared" si="0"/>
        <v>781.28301886792451</v>
      </c>
      <c r="J23" s="288">
        <f t="shared" si="0"/>
        <v>262.46226415094338</v>
      </c>
      <c r="K23" s="288">
        <f t="shared" si="0"/>
        <v>488.30188679245288</v>
      </c>
      <c r="M23" s="107"/>
      <c r="N23" s="282">
        <f>SUM(M23/SUM(SUM!$C$4:$C$7))</f>
        <v>0</v>
      </c>
      <c r="O23" s="282">
        <f t="shared" si="1"/>
        <v>0</v>
      </c>
    </row>
    <row r="24" spans="1:15" outlineLevel="1">
      <c r="A24" s="31" t="s">
        <v>201</v>
      </c>
      <c r="B24" s="31" t="s">
        <v>281</v>
      </c>
      <c r="C24" s="95">
        <v>0</v>
      </c>
      <c r="D24" s="121"/>
      <c r="E24" s="101"/>
      <c r="F24" s="60"/>
      <c r="G24" s="282">
        <f>SUM(C24:E24)/SUM(SUM!$C$4:$C$7)</f>
        <v>0</v>
      </c>
      <c r="I24" s="288">
        <f t="shared" si="0"/>
        <v>0</v>
      </c>
      <c r="J24" s="288">
        <f t="shared" si="0"/>
        <v>0</v>
      </c>
      <c r="K24" s="288">
        <f t="shared" si="0"/>
        <v>0</v>
      </c>
      <c r="M24" s="107"/>
      <c r="N24" s="282">
        <f>SUM(M24/SUM(SUM!$C$4:$C$7))</f>
        <v>0</v>
      </c>
      <c r="O24" s="282">
        <f t="shared" si="1"/>
        <v>0</v>
      </c>
    </row>
    <row r="25" spans="1:15" outlineLevel="1">
      <c r="A25" s="31" t="s">
        <v>202</v>
      </c>
      <c r="B25" s="31" t="s">
        <v>282</v>
      </c>
      <c r="C25" s="95"/>
      <c r="D25" s="121"/>
      <c r="E25" s="101"/>
      <c r="F25" s="60"/>
      <c r="G25" s="282">
        <f>SUM(C25:E25)/SUM(SUM!$C$4:$C$7)</f>
        <v>0</v>
      </c>
      <c r="I25" s="288">
        <f t="shared" si="0"/>
        <v>0</v>
      </c>
      <c r="J25" s="288">
        <f t="shared" si="0"/>
        <v>0</v>
      </c>
      <c r="K25" s="288">
        <f t="shared" si="0"/>
        <v>0</v>
      </c>
      <c r="M25" s="107"/>
      <c r="N25" s="282">
        <f>SUM(M25/SUM(SUM!$C$4:$C$7))</f>
        <v>0</v>
      </c>
      <c r="O25" s="282">
        <f t="shared" si="1"/>
        <v>0</v>
      </c>
    </row>
    <row r="26" spans="1:15" outlineLevel="1">
      <c r="A26" s="31" t="s">
        <v>203</v>
      </c>
      <c r="B26" s="31" t="s">
        <v>283</v>
      </c>
      <c r="C26" s="95">
        <v>0</v>
      </c>
      <c r="D26" s="121"/>
      <c r="E26" s="101"/>
      <c r="F26" s="60"/>
      <c r="G26" s="282">
        <f>SUM(C26:E26)/SUM(SUM!$C$4:$C$7)</f>
        <v>0</v>
      </c>
      <c r="I26" s="288">
        <f t="shared" si="0"/>
        <v>0</v>
      </c>
      <c r="J26" s="288">
        <f t="shared" si="0"/>
        <v>0</v>
      </c>
      <c r="K26" s="288">
        <f t="shared" si="0"/>
        <v>0</v>
      </c>
      <c r="M26" s="107"/>
      <c r="N26" s="282">
        <f>SUM(M26/SUM(SUM!$C$4:$C$7))</f>
        <v>0</v>
      </c>
      <c r="O26" s="282">
        <f t="shared" si="1"/>
        <v>0</v>
      </c>
    </row>
    <row r="27" spans="1:15" outlineLevel="1">
      <c r="A27" s="31" t="s">
        <v>204</v>
      </c>
      <c r="B27" s="31" t="s">
        <v>284</v>
      </c>
      <c r="C27" s="95">
        <v>10069.73</v>
      </c>
      <c r="D27" s="121">
        <v>3792</v>
      </c>
      <c r="E27" s="101">
        <v>7249.22</v>
      </c>
      <c r="F27" s="60"/>
      <c r="G27" s="282">
        <f>SUM(C27:E27)/SUM(SUM!$C$4:$C$7)</f>
        <v>19.915990566037735</v>
      </c>
      <c r="I27" s="288">
        <f t="shared" si="0"/>
        <v>12746.23396226415</v>
      </c>
      <c r="J27" s="288">
        <f t="shared" si="0"/>
        <v>4281.937971698113</v>
      </c>
      <c r="K27" s="288">
        <f t="shared" si="0"/>
        <v>7966.3962264150941</v>
      </c>
      <c r="M27" s="107"/>
      <c r="N27" s="282">
        <f>SUM(M27/SUM(SUM!$C$4:$C$7))</f>
        <v>0</v>
      </c>
      <c r="O27" s="282">
        <f t="shared" si="1"/>
        <v>0</v>
      </c>
    </row>
    <row r="28" spans="1:15" outlineLevel="1">
      <c r="A28" s="31" t="s">
        <v>205</v>
      </c>
      <c r="B28" s="31" t="s">
        <v>285</v>
      </c>
      <c r="C28" s="95">
        <v>1443.75</v>
      </c>
      <c r="D28" s="121">
        <v>2062.5</v>
      </c>
      <c r="E28" s="101">
        <v>1237.5</v>
      </c>
      <c r="F28" s="60"/>
      <c r="G28" s="282">
        <f>SUM(C28:E28)/SUM(SUM!$C$4:$C$7)</f>
        <v>4.4752358490566042</v>
      </c>
      <c r="I28" s="288">
        <f t="shared" si="0"/>
        <v>2864.1509433962265</v>
      </c>
      <c r="J28" s="288">
        <f t="shared" si="0"/>
        <v>962.17570754716985</v>
      </c>
      <c r="K28" s="288">
        <f t="shared" si="0"/>
        <v>1790.0943396226417</v>
      </c>
      <c r="M28" s="107"/>
      <c r="N28" s="282">
        <f>SUM(M28/SUM(SUM!$C$4:$C$7))</f>
        <v>0</v>
      </c>
      <c r="O28" s="282">
        <f t="shared" si="1"/>
        <v>0</v>
      </c>
    </row>
    <row r="29" spans="1:15" outlineLevel="1">
      <c r="A29" s="31" t="s">
        <v>206</v>
      </c>
      <c r="B29" s="31" t="s">
        <v>286</v>
      </c>
      <c r="C29" s="95">
        <v>0</v>
      </c>
      <c r="D29" s="121"/>
      <c r="E29" s="101"/>
      <c r="F29" s="60"/>
      <c r="G29" s="282">
        <f>SUM(C29:E29)/SUM(SUM!$C$4:$C$7)</f>
        <v>0</v>
      </c>
      <c r="I29" s="288">
        <f t="shared" si="0"/>
        <v>0</v>
      </c>
      <c r="J29" s="288">
        <f t="shared" si="0"/>
        <v>0</v>
      </c>
      <c r="K29" s="288">
        <f t="shared" si="0"/>
        <v>0</v>
      </c>
      <c r="M29" s="107"/>
      <c r="N29" s="282">
        <f>SUM(M29/SUM(SUM!$C$4:$C$7))</f>
        <v>0</v>
      </c>
      <c r="O29" s="282">
        <f t="shared" si="1"/>
        <v>0</v>
      </c>
    </row>
    <row r="30" spans="1:15" outlineLevel="1">
      <c r="A30" s="31" t="s">
        <v>208</v>
      </c>
      <c r="B30" s="31" t="s">
        <v>287</v>
      </c>
      <c r="C30" s="95">
        <v>0</v>
      </c>
      <c r="D30" s="121"/>
      <c r="E30" s="101"/>
      <c r="F30" s="60"/>
      <c r="G30" s="282">
        <f>SUM(C30:E30)/SUM(SUM!$C$4:$C$7)</f>
        <v>0</v>
      </c>
      <c r="I30" s="288">
        <f t="shared" si="0"/>
        <v>0</v>
      </c>
      <c r="J30" s="288">
        <f t="shared" si="0"/>
        <v>0</v>
      </c>
      <c r="K30" s="288">
        <f t="shared" si="0"/>
        <v>0</v>
      </c>
      <c r="M30" s="107"/>
      <c r="N30" s="282">
        <f>SUM(M30/SUM(SUM!$C$4:$C$7))</f>
        <v>0</v>
      </c>
      <c r="O30" s="282">
        <f t="shared" si="1"/>
        <v>0</v>
      </c>
    </row>
    <row r="31" spans="1:15" outlineLevel="1">
      <c r="A31" s="31" t="s">
        <v>207</v>
      </c>
      <c r="B31" s="31" t="s">
        <v>288</v>
      </c>
      <c r="C31" s="95">
        <v>4.95</v>
      </c>
      <c r="D31" s="121"/>
      <c r="E31" s="101"/>
      <c r="F31" s="60"/>
      <c r="G31" s="282">
        <f>SUM(C31:E31)/SUM(SUM!$C$4:$C$7)</f>
        <v>4.6698113207547173E-3</v>
      </c>
      <c r="I31" s="288">
        <f t="shared" si="0"/>
        <v>2.9886792452830191</v>
      </c>
      <c r="J31" s="288">
        <f t="shared" si="0"/>
        <v>1.0040094339622643</v>
      </c>
      <c r="K31" s="288">
        <f t="shared" si="0"/>
        <v>1.867924528301887</v>
      </c>
      <c r="M31" s="107">
        <v>2592</v>
      </c>
      <c r="N31" s="282">
        <f>SUM(M31/SUM(SUM!$C$4:$C$7))</f>
        <v>2.4452830188679244</v>
      </c>
      <c r="O31" s="282">
        <f t="shared" si="1"/>
        <v>3068.8301886792451</v>
      </c>
    </row>
    <row r="32" spans="1:15" outlineLevel="1">
      <c r="A32" s="31" t="s">
        <v>209</v>
      </c>
      <c r="B32" s="31" t="s">
        <v>210</v>
      </c>
      <c r="C32" s="95">
        <v>0</v>
      </c>
      <c r="D32" s="121"/>
      <c r="E32" s="101"/>
      <c r="F32" s="60"/>
      <c r="G32" s="282">
        <f>SUM(C32:E32)/SUM(SUM!$C$4:$C$7)</f>
        <v>0</v>
      </c>
      <c r="I32" s="288">
        <f t="shared" si="0"/>
        <v>0</v>
      </c>
      <c r="J32" s="288">
        <f t="shared" si="0"/>
        <v>0</v>
      </c>
      <c r="K32" s="288">
        <f t="shared" si="0"/>
        <v>0</v>
      </c>
      <c r="M32" s="107"/>
      <c r="N32" s="282">
        <f>SUM(M32/SUM(SUM!$C$4:$C$7))</f>
        <v>0</v>
      </c>
      <c r="O32" s="282">
        <f t="shared" si="1"/>
        <v>0</v>
      </c>
    </row>
    <row r="33" spans="1:15" outlineLevel="1">
      <c r="A33" s="31" t="s">
        <v>213</v>
      </c>
      <c r="B33" s="31" t="s">
        <v>214</v>
      </c>
      <c r="C33" s="95">
        <v>0</v>
      </c>
      <c r="D33" s="121"/>
      <c r="E33" s="101"/>
      <c r="F33" s="60"/>
      <c r="G33" s="282">
        <f>SUM(C33:E33)/SUM(SUM!$C$4:$C$7)</f>
        <v>0</v>
      </c>
      <c r="I33" s="288">
        <f t="shared" si="0"/>
        <v>0</v>
      </c>
      <c r="J33" s="288">
        <f t="shared" si="0"/>
        <v>0</v>
      </c>
      <c r="K33" s="288">
        <f t="shared" si="0"/>
        <v>0</v>
      </c>
      <c r="M33" s="107"/>
      <c r="N33" s="282">
        <f>SUM(M33/SUM(SUM!$C$4:$C$7))</f>
        <v>0</v>
      </c>
      <c r="O33" s="282">
        <f t="shared" si="1"/>
        <v>0</v>
      </c>
    </row>
    <row r="34" spans="1:15" outlineLevel="1">
      <c r="A34" s="31" t="s">
        <v>212</v>
      </c>
      <c r="B34" s="31" t="s">
        <v>289</v>
      </c>
      <c r="C34" s="95">
        <v>0</v>
      </c>
      <c r="D34" s="121"/>
      <c r="E34" s="101"/>
      <c r="F34" s="60"/>
      <c r="G34" s="282">
        <f>SUM(C34:E34)/SUM(SUM!$C$4:$C$7)</f>
        <v>0</v>
      </c>
      <c r="I34" s="288">
        <f t="shared" si="0"/>
        <v>0</v>
      </c>
      <c r="J34" s="288">
        <f t="shared" si="0"/>
        <v>0</v>
      </c>
      <c r="K34" s="288">
        <f t="shared" si="0"/>
        <v>0</v>
      </c>
      <c r="M34" s="107"/>
      <c r="N34" s="282">
        <f>SUM(M34/SUM(SUM!$C$4:$C$7))</f>
        <v>0</v>
      </c>
      <c r="O34" s="282">
        <f t="shared" si="1"/>
        <v>0</v>
      </c>
    </row>
    <row r="35" spans="1:15" outlineLevel="1">
      <c r="A35" s="31" t="s">
        <v>211</v>
      </c>
      <c r="B35" s="31" t="s">
        <v>290</v>
      </c>
      <c r="C35" s="95">
        <v>2929.86</v>
      </c>
      <c r="D35" s="121"/>
      <c r="E35" s="101"/>
      <c r="F35" s="60"/>
      <c r="G35" s="282">
        <f>SUM(C35:E35)/SUM(SUM!$C$4:$C$7)</f>
        <v>2.7640188679245283</v>
      </c>
      <c r="I35" s="288">
        <f t="shared" si="0"/>
        <v>1768.9720754716982</v>
      </c>
      <c r="J35" s="288">
        <f t="shared" si="0"/>
        <v>594.26405660377361</v>
      </c>
      <c r="K35" s="288">
        <f t="shared" si="0"/>
        <v>1105.6075471698114</v>
      </c>
      <c r="M35" s="107">
        <f>1523198.79+425.99</f>
        <v>1523624.78</v>
      </c>
      <c r="N35" s="282">
        <f>SUM(M35/SUM(SUM!$C$4:$C$7))</f>
        <v>1437.3818679245283</v>
      </c>
      <c r="O35" s="282">
        <f t="shared" si="1"/>
        <v>1803914.2442452828</v>
      </c>
    </row>
    <row r="36" spans="1:15" outlineLevel="1">
      <c r="A36" s="31" t="s">
        <v>215</v>
      </c>
      <c r="B36" s="31" t="s">
        <v>291</v>
      </c>
      <c r="C36" s="95"/>
      <c r="D36" s="121"/>
      <c r="E36" s="101"/>
      <c r="F36" s="60"/>
      <c r="G36" s="282">
        <f>SUM(C36:E36)/SUM(SUM!$C$4:$C$7)</f>
        <v>0</v>
      </c>
      <c r="I36" s="288">
        <f t="shared" si="0"/>
        <v>0</v>
      </c>
      <c r="J36" s="288">
        <f t="shared" si="0"/>
        <v>0</v>
      </c>
      <c r="K36" s="288">
        <f t="shared" si="0"/>
        <v>0</v>
      </c>
      <c r="M36" s="107">
        <v>736.5</v>
      </c>
      <c r="N36" s="282">
        <f>SUM(M36/SUM(SUM!$C$4:$C$7))</f>
        <v>0.69481132075471697</v>
      </c>
      <c r="O36" s="282">
        <f t="shared" si="1"/>
        <v>871.98820754716974</v>
      </c>
    </row>
    <row r="37" spans="1:15" outlineLevel="1">
      <c r="A37" s="31" t="s">
        <v>216</v>
      </c>
      <c r="B37" s="31" t="s">
        <v>292</v>
      </c>
      <c r="C37" s="96">
        <v>0</v>
      </c>
      <c r="D37" s="122"/>
      <c r="E37" s="102"/>
      <c r="F37" s="59"/>
      <c r="G37" s="283">
        <f>SUM(C37:E37)/SUM(SUM!$C$4:$C$7)</f>
        <v>0</v>
      </c>
      <c r="I37" s="289">
        <f t="shared" si="0"/>
        <v>0</v>
      </c>
      <c r="J37" s="289">
        <f t="shared" si="0"/>
        <v>0</v>
      </c>
      <c r="K37" s="289">
        <f t="shared" si="0"/>
        <v>0</v>
      </c>
      <c r="M37" s="108"/>
      <c r="N37" s="283">
        <f>SUM(M37/SUM(SUM!$C$4:$C$7))</f>
        <v>0</v>
      </c>
      <c r="O37" s="282">
        <f t="shared" si="1"/>
        <v>0</v>
      </c>
    </row>
    <row r="38" spans="1:15">
      <c r="B38" s="31" t="s">
        <v>293</v>
      </c>
      <c r="C38" s="94">
        <f>SUM(C13:C37)</f>
        <v>403402.44999999995</v>
      </c>
      <c r="D38" s="120">
        <f>SUM(D13:D37)</f>
        <v>94081.95</v>
      </c>
      <c r="E38" s="100">
        <f>SUM(E13:E37)</f>
        <v>135701.45000000001</v>
      </c>
      <c r="F38" s="50"/>
      <c r="G38" s="278">
        <f>SUM(G13:G37)</f>
        <v>597.34514150943392</v>
      </c>
      <c r="I38" s="278">
        <f t="shared" ref="I38:K38" si="2">SUM(I13:I37)</f>
        <v>382300.89056603773</v>
      </c>
      <c r="J38" s="278">
        <f t="shared" si="2"/>
        <v>128429.20542452831</v>
      </c>
      <c r="K38" s="278">
        <f t="shared" si="2"/>
        <v>238938.05660377361</v>
      </c>
      <c r="M38" s="106">
        <f t="shared" ref="M38" si="3">+SUM(M13:M37)</f>
        <v>1605923.87</v>
      </c>
      <c r="N38" s="278">
        <f>SUM(N13:N37)</f>
        <v>1515.0225188679244</v>
      </c>
      <c r="O38" s="278">
        <f>SUM(O13:O37)</f>
        <v>1901353.2611792451</v>
      </c>
    </row>
    <row r="39" spans="1:15">
      <c r="C39" s="94"/>
      <c r="D39" s="120"/>
      <c r="E39" s="100"/>
      <c r="F39" s="50"/>
      <c r="G39" s="281"/>
      <c r="M39" s="106"/>
      <c r="N39" s="281"/>
    </row>
    <row r="40" spans="1:15" outlineLevel="1">
      <c r="A40" s="31" t="s">
        <v>294</v>
      </c>
      <c r="C40" s="94"/>
      <c r="D40" s="120"/>
      <c r="E40" s="100"/>
      <c r="F40" s="50"/>
      <c r="G40" s="281"/>
      <c r="M40" s="106"/>
      <c r="N40" s="281"/>
    </row>
    <row r="41" spans="1:15" outlineLevel="1">
      <c r="A41" s="31" t="s">
        <v>217</v>
      </c>
      <c r="B41" s="31" t="s">
        <v>295</v>
      </c>
      <c r="C41" s="95">
        <v>5186001</v>
      </c>
      <c r="D41" s="121">
        <v>1253616</v>
      </c>
      <c r="E41" s="101">
        <v>3038580</v>
      </c>
      <c r="F41" s="60"/>
      <c r="G41" s="282">
        <f>SUM(C41:E41)/SUM(SUM!$C$4:$C$7)</f>
        <v>8941.6952830188675</v>
      </c>
      <c r="I41" s="288">
        <f t="shared" ref="I41:K48" si="4">SUM(I$7*$G41)</f>
        <v>5722684.9811320752</v>
      </c>
      <c r="J41" s="288">
        <f t="shared" si="4"/>
        <v>1922464.4858490564</v>
      </c>
      <c r="K41" s="288">
        <f t="shared" si="4"/>
        <v>3576678.113207547</v>
      </c>
      <c r="M41" s="107"/>
      <c r="N41" s="282">
        <f>SUM(M41/SUM(SUM!$C$4:$C$7))</f>
        <v>0</v>
      </c>
      <c r="O41" s="282">
        <f t="shared" ref="O41:O48" si="5">SUM(N41*$O$7)</f>
        <v>0</v>
      </c>
    </row>
    <row r="42" spans="1:15" outlineLevel="1">
      <c r="A42" s="31" t="s">
        <v>218</v>
      </c>
      <c r="B42" s="31" t="s">
        <v>219</v>
      </c>
      <c r="C42" s="95">
        <v>111963.69</v>
      </c>
      <c r="D42" s="121"/>
      <c r="E42" s="101">
        <v>13652.88</v>
      </c>
      <c r="F42" s="60"/>
      <c r="G42" s="282">
        <f>SUM(C42:E42)/SUM(SUM!$C$4:$C$7)</f>
        <v>118.50619811320756</v>
      </c>
      <c r="I42" s="288">
        <f t="shared" si="4"/>
        <v>75843.966792452833</v>
      </c>
      <c r="J42" s="288">
        <f t="shared" si="4"/>
        <v>25478.832594339627</v>
      </c>
      <c r="K42" s="288">
        <f t="shared" si="4"/>
        <v>47402.479245283022</v>
      </c>
      <c r="M42" s="107"/>
      <c r="N42" s="282">
        <f>SUM(M42/SUM(SUM!$C$4:$C$7))</f>
        <v>0</v>
      </c>
      <c r="O42" s="282">
        <f t="shared" si="5"/>
        <v>0</v>
      </c>
    </row>
    <row r="43" spans="1:15" outlineLevel="1">
      <c r="A43" s="31" t="s">
        <v>220</v>
      </c>
      <c r="B43" s="31" t="s">
        <v>221</v>
      </c>
      <c r="C43" s="95"/>
      <c r="D43" s="121"/>
      <c r="E43" s="101"/>
      <c r="F43" s="60"/>
      <c r="G43" s="282">
        <f>SUM(C43:E43)/SUM(SUM!$C$4:$C$7)</f>
        <v>0</v>
      </c>
      <c r="I43" s="288">
        <f t="shared" si="4"/>
        <v>0</v>
      </c>
      <c r="J43" s="288">
        <f t="shared" si="4"/>
        <v>0</v>
      </c>
      <c r="K43" s="288">
        <f t="shared" si="4"/>
        <v>0</v>
      </c>
      <c r="M43" s="107"/>
      <c r="N43" s="282">
        <f>SUM(M43/SUM(SUM!$C$4:$C$7))</f>
        <v>0</v>
      </c>
      <c r="O43" s="282">
        <f t="shared" si="5"/>
        <v>0</v>
      </c>
    </row>
    <row r="44" spans="1:15" outlineLevel="1">
      <c r="A44" s="31" t="s">
        <v>222</v>
      </c>
      <c r="B44" s="31" t="s">
        <v>296</v>
      </c>
      <c r="C44" s="95"/>
      <c r="D44" s="121"/>
      <c r="E44" s="101"/>
      <c r="F44" s="60"/>
      <c r="G44" s="282">
        <f>SUM(C44:E44)/SUM(SUM!$C$4:$C$7)</f>
        <v>0</v>
      </c>
      <c r="I44" s="288">
        <f t="shared" si="4"/>
        <v>0</v>
      </c>
      <c r="J44" s="288">
        <f t="shared" si="4"/>
        <v>0</v>
      </c>
      <c r="K44" s="288">
        <f t="shared" si="4"/>
        <v>0</v>
      </c>
      <c r="M44" s="107">
        <v>1320.46</v>
      </c>
      <c r="N44" s="282">
        <f>SUM(M44/SUM(SUM!$C$4:$C$7))</f>
        <v>1.2457169811320754</v>
      </c>
      <c r="O44" s="282">
        <f t="shared" si="5"/>
        <v>1563.3748113207546</v>
      </c>
    </row>
    <row r="45" spans="1:15" outlineLevel="1">
      <c r="A45" s="31" t="s">
        <v>223</v>
      </c>
      <c r="B45" s="31" t="s">
        <v>224</v>
      </c>
      <c r="C45" s="95"/>
      <c r="D45" s="121"/>
      <c r="E45" s="101"/>
      <c r="F45" s="60"/>
      <c r="G45" s="282">
        <f>SUM(C45:E45)/SUM(SUM!$C$4:$C$7)</f>
        <v>0</v>
      </c>
      <c r="I45" s="288">
        <f t="shared" si="4"/>
        <v>0</v>
      </c>
      <c r="J45" s="288">
        <f t="shared" si="4"/>
        <v>0</v>
      </c>
      <c r="K45" s="288">
        <f t="shared" si="4"/>
        <v>0</v>
      </c>
      <c r="M45" s="107"/>
      <c r="N45" s="282">
        <f>SUM(M45/SUM(SUM!$C$4:$C$7))</f>
        <v>0</v>
      </c>
      <c r="O45" s="282">
        <f t="shared" si="5"/>
        <v>0</v>
      </c>
    </row>
    <row r="46" spans="1:15" outlineLevel="1">
      <c r="A46" s="31" t="s">
        <v>225</v>
      </c>
      <c r="B46" s="31" t="s">
        <v>226</v>
      </c>
      <c r="C46" s="95"/>
      <c r="D46" s="121"/>
      <c r="E46" s="101"/>
      <c r="F46" s="60"/>
      <c r="G46" s="282">
        <f>SUM(C46:E46)/SUM(SUM!$C$4:$C$7)</f>
        <v>0</v>
      </c>
      <c r="I46" s="288">
        <f t="shared" si="4"/>
        <v>0</v>
      </c>
      <c r="J46" s="288">
        <f t="shared" si="4"/>
        <v>0</v>
      </c>
      <c r="K46" s="288">
        <f t="shared" si="4"/>
        <v>0</v>
      </c>
      <c r="M46" s="107"/>
      <c r="N46" s="282">
        <f>SUM(M46/SUM(SUM!$C$4:$C$7))</f>
        <v>0</v>
      </c>
      <c r="O46" s="282">
        <f t="shared" si="5"/>
        <v>0</v>
      </c>
    </row>
    <row r="47" spans="1:15" outlineLevel="1">
      <c r="A47" s="31" t="s">
        <v>227</v>
      </c>
      <c r="B47" s="31" t="s">
        <v>297</v>
      </c>
      <c r="C47" s="95"/>
      <c r="D47" s="121"/>
      <c r="E47" s="101"/>
      <c r="F47" s="60"/>
      <c r="G47" s="282">
        <f>SUM(C47:E47)/SUM(SUM!$C$4:$C$7)</f>
        <v>0</v>
      </c>
      <c r="I47" s="288">
        <f t="shared" si="4"/>
        <v>0</v>
      </c>
      <c r="J47" s="288">
        <f t="shared" si="4"/>
        <v>0</v>
      </c>
      <c r="K47" s="288">
        <f t="shared" si="4"/>
        <v>0</v>
      </c>
      <c r="M47" s="107"/>
      <c r="N47" s="282">
        <f>SUM(M47/SUM(SUM!$C$4:$C$7))</f>
        <v>0</v>
      </c>
      <c r="O47" s="282">
        <f t="shared" si="5"/>
        <v>0</v>
      </c>
    </row>
    <row r="48" spans="1:15" outlineLevel="1">
      <c r="A48" s="31" t="s">
        <v>228</v>
      </c>
      <c r="B48" s="31" t="s">
        <v>298</v>
      </c>
      <c r="C48" s="96"/>
      <c r="D48" s="122"/>
      <c r="E48" s="102"/>
      <c r="F48" s="59"/>
      <c r="G48" s="283">
        <f>SUM(C48:E48)/SUM(SUM!$C$4:$C$7)</f>
        <v>0</v>
      </c>
      <c r="I48" s="289">
        <f t="shared" si="4"/>
        <v>0</v>
      </c>
      <c r="J48" s="289">
        <f t="shared" si="4"/>
        <v>0</v>
      </c>
      <c r="K48" s="289">
        <f t="shared" si="4"/>
        <v>0</v>
      </c>
      <c r="M48" s="108"/>
      <c r="N48" s="283">
        <f>SUM(M48/SUM(SUM!$C$4:$C$7))</f>
        <v>0</v>
      </c>
      <c r="O48" s="282">
        <f t="shared" si="5"/>
        <v>0</v>
      </c>
    </row>
    <row r="49" spans="1:15">
      <c r="B49" s="31" t="s">
        <v>299</v>
      </c>
      <c r="C49" s="94">
        <f>SUM(C41:C48)</f>
        <v>5297964.6900000004</v>
      </c>
      <c r="D49" s="120">
        <f>SUM(D41:D48)</f>
        <v>1253616</v>
      </c>
      <c r="E49" s="100">
        <f>SUM(E41:E48)</f>
        <v>3052232.88</v>
      </c>
      <c r="F49" s="50"/>
      <c r="G49" s="278">
        <f>SUM(G41:G48)</f>
        <v>9060.2014811320751</v>
      </c>
      <c r="I49" s="278">
        <f t="shared" ref="I49:K49" si="6">SUM(I41:I48)</f>
        <v>5798528.9479245283</v>
      </c>
      <c r="J49" s="278">
        <f t="shared" si="6"/>
        <v>1947943.3184433961</v>
      </c>
      <c r="K49" s="278">
        <f t="shared" si="6"/>
        <v>3624080.5924528302</v>
      </c>
      <c r="M49" s="106">
        <f t="shared" ref="M49" si="7">+SUM(M41:M48)</f>
        <v>1320.46</v>
      </c>
      <c r="N49" s="278">
        <f>SUM(N41:N48)</f>
        <v>1.2457169811320754</v>
      </c>
      <c r="O49" s="278">
        <f>SUM(O41:O48)</f>
        <v>1563.3748113207546</v>
      </c>
    </row>
    <row r="50" spans="1:15">
      <c r="C50" s="94"/>
      <c r="D50" s="120"/>
      <c r="E50" s="100"/>
      <c r="F50" s="50"/>
      <c r="G50" s="281"/>
      <c r="M50" s="106"/>
      <c r="N50" s="281"/>
    </row>
    <row r="51" spans="1:15" outlineLevel="1">
      <c r="A51" s="31" t="s">
        <v>300</v>
      </c>
      <c r="C51" s="94"/>
      <c r="D51" s="120"/>
      <c r="E51" s="100"/>
      <c r="F51" s="50"/>
      <c r="G51" s="281"/>
      <c r="M51" s="106"/>
      <c r="N51" s="281"/>
    </row>
    <row r="52" spans="1:15" outlineLevel="1">
      <c r="A52" s="31" t="s">
        <v>301</v>
      </c>
      <c r="C52" s="94"/>
      <c r="D52" s="120"/>
      <c r="E52" s="100"/>
      <c r="F52" s="50"/>
      <c r="G52" s="281"/>
      <c r="M52" s="106"/>
      <c r="N52" s="281"/>
    </row>
    <row r="53" spans="1:15" outlineLevel="1">
      <c r="A53" s="31" t="s">
        <v>229</v>
      </c>
      <c r="B53" s="31" t="s">
        <v>389</v>
      </c>
      <c r="C53" s="95">
        <v>269268.55</v>
      </c>
      <c r="D53" s="121">
        <v>0</v>
      </c>
      <c r="E53" s="101">
        <v>0</v>
      </c>
      <c r="F53" s="60"/>
      <c r="G53" s="282">
        <f>SUM(C53:E53)/SUM(SUM!$C$4:$C$7)</f>
        <v>254.02693396226414</v>
      </c>
      <c r="I53" s="288">
        <f t="shared" ref="I53:K65" si="8">SUM(I$7*$G53)</f>
        <v>162577.23773584905</v>
      </c>
      <c r="J53" s="288">
        <f t="shared" si="8"/>
        <v>54615.790801886789</v>
      </c>
      <c r="K53" s="288">
        <f t="shared" si="8"/>
        <v>101610.77358490566</v>
      </c>
      <c r="M53" s="107"/>
      <c r="N53" s="282">
        <f>SUM(M53/SUM(SUM!$C$4:$C$7))</f>
        <v>0</v>
      </c>
      <c r="O53" s="282">
        <f t="shared" ref="O53:O65" si="9">SUM(N53*$O$7)</f>
        <v>0</v>
      </c>
    </row>
    <row r="54" spans="1:15" outlineLevel="1">
      <c r="A54" s="31" t="s">
        <v>230</v>
      </c>
      <c r="B54" s="31" t="s">
        <v>390</v>
      </c>
      <c r="C54" s="95">
        <v>0</v>
      </c>
      <c r="D54" s="121"/>
      <c r="E54" s="101"/>
      <c r="F54" s="60"/>
      <c r="G54" s="282">
        <f>SUM(C54:E54)/SUM(SUM!$C$4:$C$7)</f>
        <v>0</v>
      </c>
      <c r="I54" s="288">
        <f t="shared" si="8"/>
        <v>0</v>
      </c>
      <c r="J54" s="288">
        <f t="shared" si="8"/>
        <v>0</v>
      </c>
      <c r="K54" s="288">
        <f t="shared" si="8"/>
        <v>0</v>
      </c>
      <c r="M54" s="107"/>
      <c r="N54" s="282">
        <f>SUM(M54/SUM(SUM!$C$4:$C$7))</f>
        <v>0</v>
      </c>
      <c r="O54" s="282">
        <f t="shared" si="9"/>
        <v>0</v>
      </c>
    </row>
    <row r="55" spans="1:15" outlineLevel="1">
      <c r="A55" s="31" t="s">
        <v>231</v>
      </c>
      <c r="B55" s="31" t="s">
        <v>391</v>
      </c>
      <c r="C55" s="95">
        <v>0</v>
      </c>
      <c r="D55" s="121"/>
      <c r="E55" s="101"/>
      <c r="F55" s="60"/>
      <c r="G55" s="282">
        <f>SUM(C55:E55)/SUM(SUM!$C$4:$C$7)</f>
        <v>0</v>
      </c>
      <c r="I55" s="288">
        <f t="shared" si="8"/>
        <v>0</v>
      </c>
      <c r="J55" s="288">
        <f t="shared" si="8"/>
        <v>0</v>
      </c>
      <c r="K55" s="288">
        <f t="shared" si="8"/>
        <v>0</v>
      </c>
      <c r="M55" s="107"/>
      <c r="N55" s="282">
        <f>SUM(M55/SUM(SUM!$C$4:$C$7))</f>
        <v>0</v>
      </c>
      <c r="O55" s="282">
        <f t="shared" si="9"/>
        <v>0</v>
      </c>
    </row>
    <row r="56" spans="1:15" outlineLevel="1">
      <c r="A56" s="31" t="s">
        <v>232</v>
      </c>
      <c r="B56" s="31" t="s">
        <v>302</v>
      </c>
      <c r="C56" s="95">
        <v>67401.06</v>
      </c>
      <c r="D56" s="121">
        <v>17040.240000000002</v>
      </c>
      <c r="E56" s="101"/>
      <c r="F56" s="60"/>
      <c r="G56" s="282">
        <f>SUM(C56:E56)/SUM(SUM!$C$4:$C$7)</f>
        <v>79.661603773584915</v>
      </c>
      <c r="I56" s="288">
        <f t="shared" si="8"/>
        <v>50983.426415094349</v>
      </c>
      <c r="J56" s="288">
        <f t="shared" si="8"/>
        <v>17127.244811320757</v>
      </c>
      <c r="K56" s="288">
        <f t="shared" si="8"/>
        <v>31864.641509433965</v>
      </c>
      <c r="M56" s="107"/>
      <c r="N56" s="282">
        <f>SUM(M56/SUM(SUM!$C$4:$C$7))</f>
        <v>0</v>
      </c>
      <c r="O56" s="282">
        <f t="shared" si="9"/>
        <v>0</v>
      </c>
    </row>
    <row r="57" spans="1:15" outlineLevel="1">
      <c r="A57" s="31" t="s">
        <v>233</v>
      </c>
      <c r="B57" s="31" t="s">
        <v>303</v>
      </c>
      <c r="C57" s="95">
        <v>172668.68</v>
      </c>
      <c r="D57" s="121">
        <v>50471.08</v>
      </c>
      <c r="E57" s="101">
        <v>72743.95</v>
      </c>
      <c r="F57" s="60"/>
      <c r="G57" s="282">
        <f>SUM(C57:E57)/SUM(SUM!$C$4:$C$7)</f>
        <v>279.13557547169813</v>
      </c>
      <c r="I57" s="288">
        <f t="shared" si="8"/>
        <v>178646.7683018868</v>
      </c>
      <c r="J57" s="288">
        <f t="shared" si="8"/>
        <v>60014.1487264151</v>
      </c>
      <c r="K57" s="288">
        <f t="shared" si="8"/>
        <v>111654.23018867926</v>
      </c>
      <c r="M57" s="107"/>
      <c r="N57" s="282">
        <f>SUM(M57/SUM(SUM!$C$4:$C$7))</f>
        <v>0</v>
      </c>
      <c r="O57" s="282">
        <f t="shared" si="9"/>
        <v>0</v>
      </c>
    </row>
    <row r="58" spans="1:15" outlineLevel="1">
      <c r="A58" s="31" t="s">
        <v>0</v>
      </c>
      <c r="B58" s="31" t="s">
        <v>304</v>
      </c>
      <c r="C58" s="95">
        <v>23346.5</v>
      </c>
      <c r="D58" s="121">
        <v>1196.0999999999999</v>
      </c>
      <c r="E58" s="101">
        <v>4931.1000000000004</v>
      </c>
      <c r="F58" s="60"/>
      <c r="G58" s="282">
        <f>SUM(C58:E58)/SUM(SUM!$C$4:$C$7)</f>
        <v>27.805377358490563</v>
      </c>
      <c r="I58" s="288">
        <f t="shared" si="8"/>
        <v>17795.44150943396</v>
      </c>
      <c r="J58" s="288">
        <f t="shared" si="8"/>
        <v>5978.1561320754709</v>
      </c>
      <c r="K58" s="288">
        <f t="shared" si="8"/>
        <v>11122.150943396226</v>
      </c>
      <c r="M58" s="107">
        <v>20106</v>
      </c>
      <c r="N58" s="282">
        <f>SUM(M58/SUM(SUM!$C$4:$C$7))</f>
        <v>18.967924528301886</v>
      </c>
      <c r="O58" s="282">
        <f t="shared" si="9"/>
        <v>23804.745283018867</v>
      </c>
    </row>
    <row r="59" spans="1:15" outlineLevel="1">
      <c r="A59" s="31" t="s">
        <v>1</v>
      </c>
      <c r="B59" s="31" t="s">
        <v>305</v>
      </c>
      <c r="C59" s="95">
        <v>312143.27</v>
      </c>
      <c r="D59" s="121"/>
      <c r="E59" s="101"/>
      <c r="F59" s="60"/>
      <c r="G59" s="282">
        <f>SUM(C59:E59)/SUM(SUM!$C$4:$C$7)</f>
        <v>294.47478301886792</v>
      </c>
      <c r="I59" s="288">
        <f t="shared" si="8"/>
        <v>188463.86113207549</v>
      </c>
      <c r="J59" s="288">
        <f t="shared" si="8"/>
        <v>63312.078349056603</v>
      </c>
      <c r="K59" s="288">
        <f t="shared" si="8"/>
        <v>117789.91320754717</v>
      </c>
      <c r="M59" s="107"/>
      <c r="N59" s="282">
        <f>SUM(M59/SUM(SUM!$C$4:$C$7))</f>
        <v>0</v>
      </c>
      <c r="O59" s="282">
        <f t="shared" si="9"/>
        <v>0</v>
      </c>
    </row>
    <row r="60" spans="1:15" outlineLevel="1">
      <c r="A60" s="31" t="s">
        <v>3</v>
      </c>
      <c r="B60" s="31" t="s">
        <v>2</v>
      </c>
      <c r="C60" s="95">
        <v>0</v>
      </c>
      <c r="D60" s="121"/>
      <c r="E60" s="101"/>
      <c r="F60" s="60"/>
      <c r="G60" s="282">
        <f>SUM(C60:E60)/SUM(SUM!$C$4:$C$7)</f>
        <v>0</v>
      </c>
      <c r="I60" s="288">
        <f t="shared" si="8"/>
        <v>0</v>
      </c>
      <c r="J60" s="288">
        <f t="shared" si="8"/>
        <v>0</v>
      </c>
      <c r="K60" s="288">
        <f t="shared" si="8"/>
        <v>0</v>
      </c>
      <c r="M60" s="107"/>
      <c r="N60" s="282">
        <f>SUM(M60/SUM(SUM!$C$4:$C$7))</f>
        <v>0</v>
      </c>
      <c r="O60" s="282">
        <f t="shared" si="9"/>
        <v>0</v>
      </c>
    </row>
    <row r="61" spans="1:15" outlineLevel="1">
      <c r="A61" s="31" t="s">
        <v>4</v>
      </c>
      <c r="B61" s="31" t="s">
        <v>5</v>
      </c>
      <c r="C61" s="95">
        <v>0</v>
      </c>
      <c r="D61" s="121"/>
      <c r="E61" s="101"/>
      <c r="F61" s="60"/>
      <c r="G61" s="282">
        <f>SUM(C61:E61)/SUM(SUM!$C$4:$C$7)</f>
        <v>0</v>
      </c>
      <c r="I61" s="288">
        <f t="shared" si="8"/>
        <v>0</v>
      </c>
      <c r="J61" s="288">
        <f t="shared" si="8"/>
        <v>0</v>
      </c>
      <c r="K61" s="288">
        <f t="shared" si="8"/>
        <v>0</v>
      </c>
      <c r="M61" s="107"/>
      <c r="N61" s="282">
        <f>SUM(M61/SUM(SUM!$C$4:$C$7))</f>
        <v>0</v>
      </c>
      <c r="O61" s="282">
        <f t="shared" si="9"/>
        <v>0</v>
      </c>
    </row>
    <row r="62" spans="1:15" outlineLevel="1">
      <c r="A62" s="31" t="s">
        <v>6</v>
      </c>
      <c r="B62" s="31" t="s">
        <v>7</v>
      </c>
      <c r="C62" s="95"/>
      <c r="D62" s="121">
        <v>314147.58</v>
      </c>
      <c r="E62" s="101"/>
      <c r="F62" s="60"/>
      <c r="G62" s="282">
        <f>SUM(C62:E62)/SUM(SUM!$C$4:$C$7)</f>
        <v>296.365641509434</v>
      </c>
      <c r="I62" s="288">
        <f t="shared" si="8"/>
        <v>189674.01056603776</v>
      </c>
      <c r="J62" s="288">
        <f t="shared" si="8"/>
        <v>63718.612924528308</v>
      </c>
      <c r="K62" s="288">
        <f t="shared" si="8"/>
        <v>118546.2566037736</v>
      </c>
      <c r="M62" s="107"/>
      <c r="N62" s="282">
        <f>SUM(M62/SUM(SUM!$C$4:$C$7))</f>
        <v>0</v>
      </c>
      <c r="O62" s="282">
        <f t="shared" si="9"/>
        <v>0</v>
      </c>
    </row>
    <row r="63" spans="1:15" outlineLevel="1">
      <c r="A63" s="31" t="s">
        <v>8</v>
      </c>
      <c r="B63" s="31" t="s">
        <v>9</v>
      </c>
      <c r="C63" s="95"/>
      <c r="D63" s="121"/>
      <c r="E63" s="101"/>
      <c r="F63" s="60"/>
      <c r="G63" s="282">
        <f>SUM(C63:E63)/SUM(SUM!$C$4:$C$7)</f>
        <v>0</v>
      </c>
      <c r="I63" s="288">
        <f t="shared" si="8"/>
        <v>0</v>
      </c>
      <c r="J63" s="288">
        <f t="shared" si="8"/>
        <v>0</v>
      </c>
      <c r="K63" s="288">
        <f t="shared" si="8"/>
        <v>0</v>
      </c>
      <c r="M63" s="107"/>
      <c r="N63" s="282">
        <f>SUM(M63/SUM(SUM!$C$4:$C$7))</f>
        <v>0</v>
      </c>
      <c r="O63" s="282">
        <f t="shared" si="9"/>
        <v>0</v>
      </c>
    </row>
    <row r="64" spans="1:15" outlineLevel="1">
      <c r="A64" s="31" t="s">
        <v>11</v>
      </c>
      <c r="B64" s="31" t="s">
        <v>307</v>
      </c>
      <c r="C64" s="95"/>
      <c r="D64" s="121"/>
      <c r="E64" s="101"/>
      <c r="F64" s="60"/>
      <c r="G64" s="282">
        <f>SUM(C64:E64)/SUM(SUM!$C$4:$C$7)</f>
        <v>0</v>
      </c>
      <c r="I64" s="288">
        <f t="shared" si="8"/>
        <v>0</v>
      </c>
      <c r="J64" s="288">
        <f t="shared" si="8"/>
        <v>0</v>
      </c>
      <c r="K64" s="288">
        <f t="shared" si="8"/>
        <v>0</v>
      </c>
      <c r="M64" s="107"/>
      <c r="N64" s="282">
        <f>SUM(M64/SUM(SUM!$C$4:$C$7))</f>
        <v>0</v>
      </c>
      <c r="O64" s="282">
        <f t="shared" si="9"/>
        <v>0</v>
      </c>
    </row>
    <row r="65" spans="1:15" outlineLevel="1">
      <c r="A65" s="31" t="s">
        <v>10</v>
      </c>
      <c r="B65" s="31" t="s">
        <v>306</v>
      </c>
      <c r="C65" s="96"/>
      <c r="D65" s="122"/>
      <c r="E65" s="102"/>
      <c r="F65" s="59"/>
      <c r="G65" s="283">
        <f>SUM(C65:E65)/SUM(SUM!$C$4:$C$7)</f>
        <v>0</v>
      </c>
      <c r="I65" s="289">
        <f t="shared" si="8"/>
        <v>0</v>
      </c>
      <c r="J65" s="289">
        <f t="shared" si="8"/>
        <v>0</v>
      </c>
      <c r="K65" s="289">
        <f t="shared" si="8"/>
        <v>0</v>
      </c>
      <c r="M65" s="108"/>
      <c r="N65" s="283">
        <f>SUM(M65/SUM(SUM!$C$4:$C$7))</f>
        <v>0</v>
      </c>
      <c r="O65" s="283">
        <f t="shared" si="9"/>
        <v>0</v>
      </c>
    </row>
    <row r="66" spans="1:15">
      <c r="B66" s="31" t="s">
        <v>308</v>
      </c>
      <c r="C66" s="94">
        <f>SUM(C53:C65)</f>
        <v>844828.06</v>
      </c>
      <c r="D66" s="120">
        <f>SUM(D53:D65)</f>
        <v>382855</v>
      </c>
      <c r="E66" s="100">
        <f>SUM(E53:E65)</f>
        <v>77675.05</v>
      </c>
      <c r="F66" s="50"/>
      <c r="G66" s="278">
        <f>SUM(G53:G65)</f>
        <v>1231.4699150943397</v>
      </c>
      <c r="I66" s="278">
        <f t="shared" ref="I66:K66" si="10">SUM(I53:I65)</f>
        <v>788140.74566037732</v>
      </c>
      <c r="J66" s="278">
        <f t="shared" si="10"/>
        <v>264766.03174528305</v>
      </c>
      <c r="K66" s="278">
        <f t="shared" si="10"/>
        <v>492587.96603773593</v>
      </c>
      <c r="M66" s="106">
        <f t="shared" ref="M66" si="11">+SUM(M53:M65)</f>
        <v>20106</v>
      </c>
      <c r="N66" s="278">
        <f>SUM(N53:N65)</f>
        <v>18.967924528301886</v>
      </c>
      <c r="O66" s="278">
        <f>SUM(O53:O65)</f>
        <v>23804.745283018867</v>
      </c>
    </row>
    <row r="67" spans="1:15">
      <c r="C67" s="94"/>
      <c r="D67" s="120"/>
      <c r="E67" s="100"/>
      <c r="F67" s="50"/>
      <c r="G67" s="281"/>
      <c r="M67" s="106"/>
      <c r="N67" s="281"/>
    </row>
    <row r="68" spans="1:15">
      <c r="A68" s="35"/>
      <c r="B68" s="35" t="s">
        <v>309</v>
      </c>
      <c r="C68" s="94">
        <f>SUM(C38+C49+C66)</f>
        <v>6546195.2000000011</v>
      </c>
      <c r="D68" s="120">
        <f>SUM(D66+D49+D38)</f>
        <v>1730552.95</v>
      </c>
      <c r="E68" s="100">
        <f>SUM(E38+E49+E66)</f>
        <v>3265609.38</v>
      </c>
      <c r="F68" s="50"/>
      <c r="G68" s="280">
        <f>SUM(G38+G49+G66)</f>
        <v>10889.016537735848</v>
      </c>
      <c r="I68" s="280">
        <f t="shared" ref="I68:K68" si="12">SUM(I38+I49+I66)</f>
        <v>6968970.5841509439</v>
      </c>
      <c r="J68" s="280">
        <f t="shared" si="12"/>
        <v>2341138.5556132076</v>
      </c>
      <c r="K68" s="280">
        <f t="shared" si="12"/>
        <v>4355606.6150943395</v>
      </c>
      <c r="M68" s="106">
        <f t="shared" ref="M68" si="13">+M66+M49+M38</f>
        <v>1627350.33</v>
      </c>
      <c r="N68" s="280">
        <f>SUM(N38+N49+N66)</f>
        <v>1535.2361603773584</v>
      </c>
      <c r="O68" s="280">
        <f>SUM(O38+O49+O66)</f>
        <v>1926721.3812735847</v>
      </c>
    </row>
    <row r="69" spans="1:15">
      <c r="C69" s="94"/>
      <c r="D69" s="120"/>
      <c r="E69" s="100"/>
      <c r="F69" s="50"/>
      <c r="G69" s="281"/>
      <c r="M69" s="106"/>
      <c r="N69" s="281"/>
    </row>
    <row r="70" spans="1:15">
      <c r="A70" s="31" t="s">
        <v>310</v>
      </c>
      <c r="C70" s="94"/>
      <c r="D70" s="120"/>
      <c r="E70" s="100"/>
      <c r="F70" s="50"/>
      <c r="G70" s="281"/>
      <c r="M70" s="106"/>
      <c r="N70" s="281"/>
    </row>
    <row r="71" spans="1:15" outlineLevel="1">
      <c r="A71" s="31" t="s">
        <v>311</v>
      </c>
      <c r="C71" s="94"/>
      <c r="D71" s="120"/>
      <c r="E71" s="100"/>
      <c r="F71" s="50"/>
      <c r="G71" s="281"/>
      <c r="M71" s="106"/>
      <c r="N71" s="281"/>
    </row>
    <row r="72" spans="1:15" outlineLevel="1">
      <c r="A72" s="31" t="s">
        <v>19</v>
      </c>
      <c r="B72" s="31" t="s">
        <v>320</v>
      </c>
      <c r="C72" s="95">
        <v>227675.3</v>
      </c>
      <c r="D72" s="121">
        <v>115377.72</v>
      </c>
      <c r="E72" s="101">
        <v>152166.63</v>
      </c>
      <c r="F72" s="60"/>
      <c r="G72" s="282">
        <f>SUM(C72:E72)/SUM(SUM!$C$4:$C$7)</f>
        <v>467.18834905660378</v>
      </c>
      <c r="I72" s="288">
        <f t="shared" ref="I72:K79" si="14">SUM(I$7*$G72)</f>
        <v>299000.54339622642</v>
      </c>
      <c r="J72" s="288">
        <f t="shared" si="14"/>
        <v>100445.49504716981</v>
      </c>
      <c r="K72" s="288">
        <f t="shared" si="14"/>
        <v>186875.33962264151</v>
      </c>
      <c r="M72" s="107">
        <v>2540.25</v>
      </c>
      <c r="N72" s="282">
        <f>SUM(M72/SUM(SUM!$C$4:$C$7))</f>
        <v>2.3964622641509434</v>
      </c>
      <c r="O72" s="282">
        <f t="shared" ref="O72:O79" si="15">SUM(N72*$O$7)</f>
        <v>3007.5601415094338</v>
      </c>
    </row>
    <row r="73" spans="1:15" outlineLevel="1">
      <c r="A73" s="31" t="s">
        <v>12</v>
      </c>
      <c r="B73" s="31" t="s">
        <v>312</v>
      </c>
      <c r="C73" s="95">
        <v>2304245.42</v>
      </c>
      <c r="D73" s="121">
        <v>292204.78999999998</v>
      </c>
      <c r="E73" s="101">
        <v>782351.19</v>
      </c>
      <c r="F73" s="60"/>
      <c r="G73" s="282">
        <f>SUM(C73:E73)/SUM(SUM!$C$4:$C$7)</f>
        <v>3187.5484905660378</v>
      </c>
      <c r="I73" s="288">
        <f t="shared" si="14"/>
        <v>2040031.0339622642</v>
      </c>
      <c r="J73" s="288">
        <f t="shared" si="14"/>
        <v>685322.92547169817</v>
      </c>
      <c r="K73" s="288">
        <f t="shared" si="14"/>
        <v>1275019.3962264152</v>
      </c>
      <c r="M73" s="107">
        <v>7023.26</v>
      </c>
      <c r="N73" s="282">
        <f>SUM(M73/SUM(SUM!$C$4:$C$7))</f>
        <v>6.6257169811320757</v>
      </c>
      <c r="O73" s="282">
        <f t="shared" si="15"/>
        <v>8315.2748113207545</v>
      </c>
    </row>
    <row r="74" spans="1:15" outlineLevel="1">
      <c r="A74" s="31" t="s">
        <v>13</v>
      </c>
      <c r="B74" s="31" t="s">
        <v>313</v>
      </c>
      <c r="C74" s="95">
        <v>391381.35</v>
      </c>
      <c r="D74" s="121">
        <v>137172.24</v>
      </c>
      <c r="E74" s="101">
        <v>155783.49</v>
      </c>
      <c r="F74" s="60"/>
      <c r="G74" s="282">
        <f>SUM(C74:E74)/SUM(SUM!$C$4:$C$7)</f>
        <v>645.60101886792449</v>
      </c>
      <c r="I74" s="288">
        <f t="shared" si="14"/>
        <v>413184.65207547171</v>
      </c>
      <c r="J74" s="288">
        <f t="shared" si="14"/>
        <v>138804.21905660376</v>
      </c>
      <c r="K74" s="288">
        <f t="shared" si="14"/>
        <v>258240.4075471698</v>
      </c>
      <c r="M74" s="107">
        <v>9204.6200000000008</v>
      </c>
      <c r="N74" s="282">
        <f>SUM(M74/SUM(SUM!$C$4:$C$7))</f>
        <v>8.6836037735849061</v>
      </c>
      <c r="O74" s="282">
        <f t="shared" si="15"/>
        <v>10897.922735849057</v>
      </c>
    </row>
    <row r="75" spans="1:15" outlineLevel="1">
      <c r="A75" s="31" t="s">
        <v>14</v>
      </c>
      <c r="B75" s="31" t="s">
        <v>314</v>
      </c>
      <c r="C75" s="95">
        <v>87983.31</v>
      </c>
      <c r="D75" s="121">
        <v>41782.17</v>
      </c>
      <c r="E75" s="101">
        <v>45289.43</v>
      </c>
      <c r="F75" s="60"/>
      <c r="G75" s="282">
        <f>SUM(C75:E75)/SUM(SUM!$C$4:$C$7)</f>
        <v>165.14614150943396</v>
      </c>
      <c r="I75" s="288">
        <f t="shared" si="14"/>
        <v>105693.53056603773</v>
      </c>
      <c r="J75" s="288">
        <f t="shared" si="14"/>
        <v>35506.420424528304</v>
      </c>
      <c r="K75" s="288">
        <f t="shared" si="14"/>
        <v>66058.456603773579</v>
      </c>
      <c r="M75" s="107">
        <v>0</v>
      </c>
      <c r="N75" s="282">
        <f>SUM(M75/SUM(SUM!$C$4:$C$7))</f>
        <v>0</v>
      </c>
      <c r="O75" s="282">
        <f t="shared" si="15"/>
        <v>0</v>
      </c>
    </row>
    <row r="76" spans="1:15" outlineLevel="1">
      <c r="A76" s="31" t="s">
        <v>15</v>
      </c>
      <c r="B76" s="31" t="s">
        <v>315</v>
      </c>
      <c r="C76" s="95">
        <v>45535.25</v>
      </c>
      <c r="D76" s="121">
        <v>26982.14</v>
      </c>
      <c r="E76" s="101">
        <v>26981.84</v>
      </c>
      <c r="F76" s="60"/>
      <c r="G76" s="282">
        <f>SUM(C76:E76)/SUM(SUM!$C$4:$C$7)</f>
        <v>93.86719811320755</v>
      </c>
      <c r="I76" s="288">
        <f t="shared" si="14"/>
        <v>60075.006792452834</v>
      </c>
      <c r="J76" s="288">
        <f t="shared" si="14"/>
        <v>20181.447594339625</v>
      </c>
      <c r="K76" s="288">
        <f t="shared" si="14"/>
        <v>37546.879245283017</v>
      </c>
      <c r="M76" s="107">
        <v>62829.59</v>
      </c>
      <c r="N76" s="282">
        <f>SUM(M76/SUM(SUM!$C$4:$C$7))</f>
        <v>59.273198113207542</v>
      </c>
      <c r="O76" s="282">
        <f t="shared" si="15"/>
        <v>74387.863632075459</v>
      </c>
    </row>
    <row r="77" spans="1:15" outlineLevel="1">
      <c r="A77" s="31" t="s">
        <v>16</v>
      </c>
      <c r="B77" s="31" t="s">
        <v>316</v>
      </c>
      <c r="C77" s="95">
        <v>80964.92</v>
      </c>
      <c r="D77" s="121">
        <v>29895</v>
      </c>
      <c r="E77" s="101">
        <v>36344.46</v>
      </c>
      <c r="F77" s="60"/>
      <c r="G77" s="282">
        <f>SUM(C77:E77)/SUM(SUM!$C$4:$C$7)</f>
        <v>138.87205660377359</v>
      </c>
      <c r="I77" s="288">
        <f t="shared" si="14"/>
        <v>88878.116226415092</v>
      </c>
      <c r="J77" s="288">
        <f t="shared" si="14"/>
        <v>29857.492169811321</v>
      </c>
      <c r="K77" s="288">
        <f t="shared" si="14"/>
        <v>55548.822641509432</v>
      </c>
      <c r="M77" s="107">
        <v>183019.56</v>
      </c>
      <c r="N77" s="282">
        <f>SUM(M77/SUM(SUM!$C$4:$C$7))</f>
        <v>172.65996226415095</v>
      </c>
      <c r="O77" s="282">
        <f t="shared" si="15"/>
        <v>216688.25264150943</v>
      </c>
    </row>
    <row r="78" spans="1:15" outlineLevel="1">
      <c r="A78" s="31" t="s">
        <v>17</v>
      </c>
      <c r="B78" s="31" t="s">
        <v>317</v>
      </c>
      <c r="C78" s="95">
        <v>156160.79</v>
      </c>
      <c r="D78" s="121">
        <v>54767.96</v>
      </c>
      <c r="E78" s="101">
        <v>51608.9</v>
      </c>
      <c r="F78" s="60"/>
      <c r="G78" s="282">
        <f>SUM(C78:E78)/SUM(SUM!$C$4:$C$7)</f>
        <v>247.67702830188682</v>
      </c>
      <c r="I78" s="288">
        <f t="shared" si="14"/>
        <v>158513.29811320757</v>
      </c>
      <c r="J78" s="288">
        <f t="shared" si="14"/>
        <v>53250.561084905668</v>
      </c>
      <c r="K78" s="288">
        <f t="shared" si="14"/>
        <v>99070.811320754729</v>
      </c>
      <c r="M78" s="107">
        <v>258.62</v>
      </c>
      <c r="N78" s="282">
        <f>SUM(M78/SUM(SUM!$C$4:$C$7))</f>
        <v>0.2439811320754717</v>
      </c>
      <c r="O78" s="282">
        <f t="shared" si="15"/>
        <v>306.19632075471696</v>
      </c>
    </row>
    <row r="79" spans="1:15" outlineLevel="1">
      <c r="A79" s="31" t="s">
        <v>18</v>
      </c>
      <c r="B79" s="31" t="s">
        <v>319</v>
      </c>
      <c r="C79" s="96">
        <v>98150.34</v>
      </c>
      <c r="D79" s="122">
        <v>27813.02</v>
      </c>
      <c r="E79" s="102">
        <v>17853.509999999998</v>
      </c>
      <c r="F79" s="59"/>
      <c r="G79" s="283">
        <f>SUM(C79:E79)/SUM(SUM!$C$4:$C$7)</f>
        <v>135.67629245283018</v>
      </c>
      <c r="I79" s="289">
        <f t="shared" si="14"/>
        <v>86832.827169811324</v>
      </c>
      <c r="J79" s="289">
        <f t="shared" si="14"/>
        <v>29170.402877358491</v>
      </c>
      <c r="K79" s="289">
        <f t="shared" si="14"/>
        <v>54270.516981132074</v>
      </c>
      <c r="M79" s="108">
        <v>566341.80000000005</v>
      </c>
      <c r="N79" s="283">
        <f>SUM(M79/SUM(SUM!$C$4:$C$7))</f>
        <v>534.28471698113208</v>
      </c>
      <c r="O79" s="283">
        <f t="shared" si="15"/>
        <v>670527.31981132075</v>
      </c>
    </row>
    <row r="80" spans="1:15">
      <c r="B80" s="31" t="s">
        <v>24</v>
      </c>
      <c r="C80" s="94">
        <f>SUM(C72:C79)</f>
        <v>3392096.6799999997</v>
      </c>
      <c r="D80" s="120">
        <f>SUM(D72:D79)</f>
        <v>725995.04</v>
      </c>
      <c r="E80" s="100">
        <f>SUM(E72:E79)</f>
        <v>1268379.45</v>
      </c>
      <c r="F80" s="50"/>
      <c r="G80" s="278">
        <f>SUM(G72:G79)</f>
        <v>5081.5765754716977</v>
      </c>
      <c r="I80" s="278">
        <f t="shared" ref="I80:K80" si="16">SUM(I72:I79)</f>
        <v>3252209.0083018867</v>
      </c>
      <c r="J80" s="278">
        <f t="shared" si="16"/>
        <v>1092538.9637264151</v>
      </c>
      <c r="K80" s="278">
        <f t="shared" si="16"/>
        <v>2032630.6301886793</v>
      </c>
      <c r="M80" s="106">
        <f t="shared" ref="M80" si="17">+SUM(M72:M79)</f>
        <v>831217.70000000007</v>
      </c>
      <c r="N80" s="278">
        <f>SUM(N72:N79)</f>
        <v>784.16764150943391</v>
      </c>
      <c r="O80" s="278">
        <f>SUM(O72:O79)</f>
        <v>984130.39009433961</v>
      </c>
    </row>
    <row r="81" spans="1:15">
      <c r="C81" s="94"/>
      <c r="D81" s="120"/>
      <c r="E81" s="100"/>
      <c r="F81" s="50"/>
      <c r="G81" s="281"/>
      <c r="M81" s="106"/>
      <c r="N81" s="281"/>
    </row>
    <row r="82" spans="1:15">
      <c r="C82" s="94"/>
      <c r="D82" s="120"/>
      <c r="E82" s="100"/>
      <c r="F82" s="50"/>
      <c r="G82" s="281"/>
      <c r="M82" s="106"/>
      <c r="N82" s="281"/>
    </row>
    <row r="83" spans="1:15" outlineLevel="1">
      <c r="A83" s="36" t="s">
        <v>322</v>
      </c>
      <c r="C83" s="94"/>
      <c r="D83" s="120"/>
      <c r="E83" s="100"/>
      <c r="F83" s="50"/>
      <c r="G83" s="281"/>
      <c r="M83" s="106"/>
      <c r="N83" s="281"/>
    </row>
    <row r="84" spans="1:15" outlineLevel="1">
      <c r="A84" s="31" t="s">
        <v>20</v>
      </c>
      <c r="B84" s="31" t="s">
        <v>321</v>
      </c>
      <c r="C84" s="95">
        <v>4469.7299999999996</v>
      </c>
      <c r="D84" s="121">
        <v>1528.86</v>
      </c>
      <c r="E84" s="101">
        <v>36579.53</v>
      </c>
      <c r="F84" s="60"/>
      <c r="G84" s="282">
        <f>SUM(C84:E84)/SUM(SUM!$C$4:$C$7)</f>
        <v>40.168037735849055</v>
      </c>
      <c r="I84" s="288">
        <f t="shared" ref="I84:K87" si="18">SUM(I$7*$G84)</f>
        <v>25707.544150943395</v>
      </c>
      <c r="J84" s="288">
        <f t="shared" si="18"/>
        <v>8636.1281132075474</v>
      </c>
      <c r="K84" s="288">
        <f t="shared" si="18"/>
        <v>16067.215094339623</v>
      </c>
      <c r="M84" s="107"/>
      <c r="N84" s="282">
        <f>SUM(M84/SUM(SUM!$C$4:$C$7))</f>
        <v>0</v>
      </c>
      <c r="O84" s="282">
        <f t="shared" ref="O84:O87" si="19">SUM(N84*$O$7)</f>
        <v>0</v>
      </c>
    </row>
    <row r="85" spans="1:15" outlineLevel="1">
      <c r="A85" s="31" t="s">
        <v>21</v>
      </c>
      <c r="B85" s="31" t="s">
        <v>322</v>
      </c>
      <c r="C85" s="95">
        <v>462</v>
      </c>
      <c r="D85" s="121">
        <v>283.5</v>
      </c>
      <c r="E85" s="101">
        <v>178.5</v>
      </c>
      <c r="F85" s="60"/>
      <c r="G85" s="282">
        <f>SUM(C85:E85)/SUM(SUM!$C$4:$C$7)</f>
        <v>0.8716981132075472</v>
      </c>
      <c r="I85" s="288">
        <f t="shared" si="18"/>
        <v>557.88679245283015</v>
      </c>
      <c r="J85" s="288">
        <f t="shared" si="18"/>
        <v>187.41509433962264</v>
      </c>
      <c r="K85" s="288">
        <f t="shared" si="18"/>
        <v>348.67924528301887</v>
      </c>
      <c r="M85" s="107"/>
      <c r="N85" s="282">
        <f>SUM(M85/SUM(SUM!$C$4:$C$7))</f>
        <v>0</v>
      </c>
      <c r="O85" s="282">
        <f t="shared" si="19"/>
        <v>0</v>
      </c>
    </row>
    <row r="86" spans="1:15" outlineLevel="1">
      <c r="A86" s="31" t="s">
        <v>406</v>
      </c>
      <c r="B86" s="31" t="s">
        <v>407</v>
      </c>
      <c r="C86" s="95">
        <v>0</v>
      </c>
      <c r="D86" s="121"/>
      <c r="E86" s="101"/>
      <c r="F86" s="60"/>
      <c r="G86" s="282">
        <f>SUM(C86:E86)/SUM(SUM!$C$4:$C$7)</f>
        <v>0</v>
      </c>
      <c r="I86" s="288">
        <f t="shared" si="18"/>
        <v>0</v>
      </c>
      <c r="J86" s="288">
        <f t="shared" si="18"/>
        <v>0</v>
      </c>
      <c r="K86" s="288">
        <f t="shared" si="18"/>
        <v>0</v>
      </c>
      <c r="M86" s="107"/>
      <c r="N86" s="282">
        <f>SUM(M86/SUM(SUM!$C$4:$C$7))</f>
        <v>0</v>
      </c>
      <c r="O86" s="282">
        <f t="shared" si="19"/>
        <v>0</v>
      </c>
    </row>
    <row r="87" spans="1:15" outlineLevel="1">
      <c r="A87" s="31" t="s">
        <v>22</v>
      </c>
      <c r="B87" s="31" t="s">
        <v>23</v>
      </c>
      <c r="C87" s="96">
        <v>15420</v>
      </c>
      <c r="D87" s="122">
        <v>12000</v>
      </c>
      <c r="E87" s="102">
        <v>13351.79</v>
      </c>
      <c r="F87" s="59"/>
      <c r="G87" s="283">
        <f>SUM(C87:E87)/SUM(SUM!$C$4:$C$7)</f>
        <v>38.463952830188681</v>
      </c>
      <c r="I87" s="289">
        <f t="shared" si="18"/>
        <v>24616.929811320755</v>
      </c>
      <c r="J87" s="289">
        <f t="shared" si="18"/>
        <v>8269.7498584905661</v>
      </c>
      <c r="K87" s="289">
        <f t="shared" si="18"/>
        <v>15385.581132075473</v>
      </c>
      <c r="M87" s="108">
        <v>-138</v>
      </c>
      <c r="N87" s="283">
        <f>SUM(M87/SUM(SUM!$C$4:$C$7))</f>
        <v>-0.13018867924528302</v>
      </c>
      <c r="O87" s="283">
        <f t="shared" si="19"/>
        <v>-163.38679245283018</v>
      </c>
    </row>
    <row r="88" spans="1:15">
      <c r="B88" s="31" t="s">
        <v>323</v>
      </c>
      <c r="C88" s="94">
        <f>SUM(C84:C87)</f>
        <v>20351.73</v>
      </c>
      <c r="D88" s="120">
        <f>SUM(D84:D87)</f>
        <v>13812.36</v>
      </c>
      <c r="E88" s="100">
        <f>SUM(E84:E87)</f>
        <v>50109.82</v>
      </c>
      <c r="F88" s="50"/>
      <c r="G88" s="278">
        <f>SUM(G84:G87)</f>
        <v>79.503688679245286</v>
      </c>
      <c r="I88" s="278">
        <f t="shared" ref="I88:K88" si="20">SUM(I84:I87)</f>
        <v>50882.360754716981</v>
      </c>
      <c r="J88" s="278">
        <f t="shared" si="20"/>
        <v>17093.293066037739</v>
      </c>
      <c r="K88" s="278">
        <f t="shared" si="20"/>
        <v>31801.475471698115</v>
      </c>
      <c r="M88" s="106">
        <f t="shared" ref="M88" si="21">+SUM(M84:M87)</f>
        <v>-138</v>
      </c>
      <c r="N88" s="278">
        <f>SUM(N84:N87)</f>
        <v>-0.13018867924528302</v>
      </c>
      <c r="O88" s="278">
        <f>SUM(O84:O87)</f>
        <v>-163.38679245283018</v>
      </c>
    </row>
    <row r="89" spans="1:15">
      <c r="C89" s="94"/>
      <c r="D89" s="120"/>
      <c r="E89" s="100"/>
      <c r="F89" s="50"/>
      <c r="G89" s="281"/>
      <c r="M89" s="106"/>
      <c r="N89" s="281"/>
    </row>
    <row r="90" spans="1:15">
      <c r="B90" s="31" t="s">
        <v>324</v>
      </c>
      <c r="C90" s="94">
        <f>SUM(C80+C88)</f>
        <v>3412448.4099999997</v>
      </c>
      <c r="D90" s="120">
        <f>SUM(D80+D88)</f>
        <v>739807.4</v>
      </c>
      <c r="E90" s="100">
        <f>SUM(E80+E88)</f>
        <v>1318489.27</v>
      </c>
      <c r="F90" s="50"/>
      <c r="G90" s="279">
        <f>SUM(G80+G88)</f>
        <v>5161.0802641509426</v>
      </c>
      <c r="I90" s="279">
        <f t="shared" ref="I90:K90" si="22">SUM(I80+I88)</f>
        <v>3303091.3690566039</v>
      </c>
      <c r="J90" s="279">
        <f t="shared" si="22"/>
        <v>1109632.2567924529</v>
      </c>
      <c r="K90" s="279">
        <f t="shared" si="22"/>
        <v>2064432.1056603775</v>
      </c>
      <c r="M90" s="106">
        <f>+M80+M88</f>
        <v>831079.70000000007</v>
      </c>
      <c r="N90" s="279">
        <f>SUM(N80+N88)</f>
        <v>784.03745283018861</v>
      </c>
      <c r="O90" s="279">
        <f>SUM(O80+O88)</f>
        <v>983967.00330188684</v>
      </c>
    </row>
    <row r="91" spans="1:15">
      <c r="C91" s="94"/>
      <c r="D91" s="120"/>
      <c r="E91" s="100"/>
      <c r="F91" s="50"/>
      <c r="G91" s="281"/>
      <c r="M91" s="106"/>
      <c r="N91" s="281"/>
    </row>
    <row r="92" spans="1:15" outlineLevel="1">
      <c r="A92" s="31" t="s">
        <v>325</v>
      </c>
      <c r="C92" s="94"/>
      <c r="D92" s="120"/>
      <c r="E92" s="100"/>
      <c r="F92" s="50"/>
      <c r="G92" s="281"/>
      <c r="M92" s="106"/>
      <c r="N92" s="281"/>
    </row>
    <row r="93" spans="1:15" outlineLevel="1">
      <c r="A93" s="31" t="s">
        <v>25</v>
      </c>
      <c r="B93" s="31" t="s">
        <v>33</v>
      </c>
      <c r="C93" s="95">
        <v>222846.33</v>
      </c>
      <c r="D93" s="121">
        <v>51601.91</v>
      </c>
      <c r="E93" s="101">
        <v>58814.43</v>
      </c>
      <c r="F93" s="60"/>
      <c r="G93" s="282">
        <f>SUM(C93:E93)/SUM(SUM!$C$4:$C$7)</f>
        <v>314.39874528301885</v>
      </c>
      <c r="I93" s="288">
        <f t="shared" ref="I93:K101" si="23">SUM(I$7*$G93)</f>
        <v>201215.19698113206</v>
      </c>
      <c r="J93" s="288">
        <f t="shared" si="23"/>
        <v>67595.730235849056</v>
      </c>
      <c r="K93" s="288">
        <f t="shared" si="23"/>
        <v>125759.49811320755</v>
      </c>
      <c r="M93" s="107">
        <v>58312.68</v>
      </c>
      <c r="N93" s="282">
        <f>SUM(M93/SUM(SUM!$C$4:$C$7))</f>
        <v>55.011962264150945</v>
      </c>
      <c r="O93" s="282">
        <f t="shared" ref="O93:O101" si="24">SUM(N93*$O$7)</f>
        <v>69040.012641509442</v>
      </c>
    </row>
    <row r="94" spans="1:15" outlineLevel="1">
      <c r="A94" s="31" t="s">
        <v>26</v>
      </c>
      <c r="B94" s="31" t="s">
        <v>34</v>
      </c>
      <c r="C94" s="95">
        <v>12331.61</v>
      </c>
      <c r="D94" s="121">
        <v>3094.19</v>
      </c>
      <c r="E94" s="101">
        <v>3385.49</v>
      </c>
      <c r="F94" s="60"/>
      <c r="G94" s="282">
        <f>SUM(C94:E94)/SUM(SUM!$C$4:$C$7)</f>
        <v>17.746500000000001</v>
      </c>
      <c r="I94" s="288">
        <f t="shared" si="23"/>
        <v>11357.76</v>
      </c>
      <c r="J94" s="288">
        <f t="shared" si="23"/>
        <v>3815.4975000000004</v>
      </c>
      <c r="K94" s="288">
        <f t="shared" si="23"/>
        <v>7098.6</v>
      </c>
      <c r="M94" s="107">
        <v>3900.39</v>
      </c>
      <c r="N94" s="282">
        <f>SUM(M94/SUM(SUM!$C$4:$C$7))</f>
        <v>3.6796132075471695</v>
      </c>
      <c r="O94" s="282">
        <f t="shared" si="24"/>
        <v>4617.9145754716974</v>
      </c>
    </row>
    <row r="95" spans="1:15" outlineLevel="1">
      <c r="A95" s="31" t="s">
        <v>28</v>
      </c>
      <c r="B95" s="31" t="s">
        <v>27</v>
      </c>
      <c r="C95" s="95">
        <v>228874.55</v>
      </c>
      <c r="D95" s="121">
        <v>49655.28</v>
      </c>
      <c r="E95" s="101">
        <v>84387.15</v>
      </c>
      <c r="F95" s="60"/>
      <c r="G95" s="282">
        <f>SUM(C95:E95)/SUM(SUM!$C$4:$C$7)</f>
        <v>342.37450943396226</v>
      </c>
      <c r="I95" s="288">
        <f t="shared" si="23"/>
        <v>219119.68603773584</v>
      </c>
      <c r="J95" s="288">
        <f t="shared" si="23"/>
        <v>73610.519528301884</v>
      </c>
      <c r="K95" s="288">
        <f t="shared" si="23"/>
        <v>136949.80377358489</v>
      </c>
      <c r="M95" s="107">
        <v>60726.66</v>
      </c>
      <c r="N95" s="282">
        <f>SUM(M95/SUM(SUM!$C$4:$C$7))</f>
        <v>57.289301886792458</v>
      </c>
      <c r="O95" s="282">
        <f t="shared" si="24"/>
        <v>71898.073867924541</v>
      </c>
    </row>
    <row r="96" spans="1:15" outlineLevel="1">
      <c r="A96" s="31" t="s">
        <v>30</v>
      </c>
      <c r="B96" s="31" t="s">
        <v>29</v>
      </c>
      <c r="C96" s="95">
        <v>0</v>
      </c>
      <c r="D96" s="121">
        <v>0</v>
      </c>
      <c r="E96" s="101"/>
      <c r="F96" s="60"/>
      <c r="G96" s="282">
        <f>SUM(C96:E96)/SUM(SUM!$C$4:$C$7)</f>
        <v>0</v>
      </c>
      <c r="I96" s="288">
        <f t="shared" si="23"/>
        <v>0</v>
      </c>
      <c r="J96" s="288">
        <f t="shared" si="23"/>
        <v>0</v>
      </c>
      <c r="K96" s="288">
        <f t="shared" si="23"/>
        <v>0</v>
      </c>
      <c r="M96" s="107"/>
      <c r="N96" s="282">
        <f>SUM(M96/SUM(SUM!$C$4:$C$7))</f>
        <v>0</v>
      </c>
      <c r="O96" s="282">
        <f t="shared" si="24"/>
        <v>0</v>
      </c>
    </row>
    <row r="97" spans="1:15" outlineLevel="1">
      <c r="A97" s="31" t="s">
        <v>31</v>
      </c>
      <c r="B97" s="31" t="s">
        <v>32</v>
      </c>
      <c r="C97" s="95">
        <v>111778.44</v>
      </c>
      <c r="D97" s="121">
        <v>21191.97</v>
      </c>
      <c r="E97" s="101">
        <v>24281.040000000001</v>
      </c>
      <c r="F97" s="60"/>
      <c r="G97" s="282">
        <f>SUM(C97:E97)/SUM(SUM!$C$4:$C$7)</f>
        <v>148.35042452830189</v>
      </c>
      <c r="I97" s="288">
        <f t="shared" si="23"/>
        <v>94944.271698113211</v>
      </c>
      <c r="J97" s="288">
        <f t="shared" si="23"/>
        <v>31895.341273584905</v>
      </c>
      <c r="K97" s="288">
        <f t="shared" si="23"/>
        <v>59340.169811320753</v>
      </c>
      <c r="M97" s="107">
        <v>37029.120000000003</v>
      </c>
      <c r="N97" s="282">
        <f>SUM(M97/SUM(SUM!$C$4:$C$7))</f>
        <v>34.933132075471704</v>
      </c>
      <c r="O97" s="282">
        <f t="shared" si="24"/>
        <v>43841.08075471699</v>
      </c>
    </row>
    <row r="98" spans="1:15" outlineLevel="1">
      <c r="A98" s="31" t="s">
        <v>36</v>
      </c>
      <c r="B98" s="31" t="s">
        <v>35</v>
      </c>
      <c r="C98" s="95">
        <v>29026.86</v>
      </c>
      <c r="D98" s="121">
        <v>6564.02</v>
      </c>
      <c r="E98" s="101">
        <v>10291.34</v>
      </c>
      <c r="F98" s="60"/>
      <c r="G98" s="282">
        <f>SUM(C98:E98)/SUM(SUM!$C$4:$C$7)</f>
        <v>43.28511320754717</v>
      </c>
      <c r="I98" s="288">
        <f t="shared" si="23"/>
        <v>27702.472452830189</v>
      </c>
      <c r="J98" s="288">
        <f t="shared" si="23"/>
        <v>9306.2993396226411</v>
      </c>
      <c r="K98" s="288">
        <f t="shared" si="23"/>
        <v>17314.045283018866</v>
      </c>
      <c r="M98" s="107">
        <v>4509.45</v>
      </c>
      <c r="N98" s="282">
        <f>SUM(M98/SUM(SUM!$C$4:$C$7))</f>
        <v>4.254198113207547</v>
      </c>
      <c r="O98" s="282">
        <f t="shared" si="24"/>
        <v>5339.0186320754719</v>
      </c>
    </row>
    <row r="99" spans="1:15" outlineLevel="1">
      <c r="A99" s="31" t="s">
        <v>38</v>
      </c>
      <c r="B99" s="31" t="s">
        <v>37</v>
      </c>
      <c r="C99" s="95">
        <v>22860.99</v>
      </c>
      <c r="D99" s="121">
        <v>7261.7</v>
      </c>
      <c r="E99" s="101">
        <v>14408.57</v>
      </c>
      <c r="F99" s="60"/>
      <c r="G99" s="282">
        <f>SUM(C99:E99)/SUM(SUM!$C$4:$C$7)</f>
        <v>42.010622641509435</v>
      </c>
      <c r="I99" s="288">
        <f t="shared" si="23"/>
        <v>26886.798490566038</v>
      </c>
      <c r="J99" s="288">
        <f t="shared" si="23"/>
        <v>9032.2838679245287</v>
      </c>
      <c r="K99" s="288">
        <f t="shared" si="23"/>
        <v>16804.249056603774</v>
      </c>
      <c r="M99" s="107">
        <v>4831.7</v>
      </c>
      <c r="N99" s="282">
        <f>SUM(M99/SUM(SUM!$C$4:$C$7))</f>
        <v>4.5582075471698111</v>
      </c>
      <c r="O99" s="282">
        <f t="shared" si="24"/>
        <v>5720.5504716981131</v>
      </c>
    </row>
    <row r="100" spans="1:15" outlineLevel="1">
      <c r="A100" s="31" t="s">
        <v>83</v>
      </c>
      <c r="B100" s="31" t="s">
        <v>84</v>
      </c>
      <c r="C100" s="95">
        <v>4747.5</v>
      </c>
      <c r="D100" s="121"/>
      <c r="E100" s="101">
        <v>1230</v>
      </c>
      <c r="F100" s="60"/>
      <c r="G100" s="282">
        <f>SUM(C100:E100)/SUM(SUM!$C$4:$C$7)</f>
        <v>5.6391509433962268</v>
      </c>
      <c r="I100" s="288">
        <f t="shared" si="23"/>
        <v>3609.0566037735853</v>
      </c>
      <c r="J100" s="288">
        <f t="shared" si="23"/>
        <v>1212.4174528301887</v>
      </c>
      <c r="K100" s="288">
        <f t="shared" si="23"/>
        <v>2255.6603773584907</v>
      </c>
      <c r="M100" s="107"/>
      <c r="N100" s="282">
        <f>SUM(M100/SUM(SUM!$C$4:$C$7))</f>
        <v>0</v>
      </c>
      <c r="O100" s="282">
        <f t="shared" si="24"/>
        <v>0</v>
      </c>
    </row>
    <row r="101" spans="1:15" outlineLevel="1">
      <c r="A101" s="31" t="s">
        <v>39</v>
      </c>
      <c r="B101" s="31" t="s">
        <v>40</v>
      </c>
      <c r="C101" s="96">
        <v>19558.88</v>
      </c>
      <c r="D101" s="122">
        <v>4029.48</v>
      </c>
      <c r="E101" s="102">
        <v>3526.92</v>
      </c>
      <c r="F101" s="59"/>
      <c r="G101" s="283">
        <f>SUM(C101:E101)/SUM(SUM!$C$4:$C$7)</f>
        <v>25.58045283018868</v>
      </c>
      <c r="I101" s="289">
        <f t="shared" si="23"/>
        <v>16371.489811320755</v>
      </c>
      <c r="J101" s="289">
        <f t="shared" si="23"/>
        <v>5499.7973584905658</v>
      </c>
      <c r="K101" s="289">
        <f t="shared" si="23"/>
        <v>10232.181132075471</v>
      </c>
      <c r="M101" s="108">
        <v>4042.31</v>
      </c>
      <c r="N101" s="283">
        <f>SUM(M101/SUM(SUM!$C$4:$C$7))</f>
        <v>3.8134999999999999</v>
      </c>
      <c r="O101" s="283">
        <f t="shared" si="24"/>
        <v>4785.9425000000001</v>
      </c>
    </row>
    <row r="102" spans="1:15">
      <c r="B102" s="31" t="s">
        <v>234</v>
      </c>
      <c r="C102" s="94">
        <f>SUM(C93:C101)</f>
        <v>652025.15999999992</v>
      </c>
      <c r="D102" s="120">
        <f>SUM(D93:D101)</f>
        <v>143398.55000000002</v>
      </c>
      <c r="E102" s="100">
        <f>SUM(E93:E101)</f>
        <v>200324.94000000003</v>
      </c>
      <c r="F102" s="50"/>
      <c r="G102" s="278">
        <f>SUM(G93:G101)</f>
        <v>939.3855188679247</v>
      </c>
      <c r="I102" s="278">
        <f t="shared" ref="I102:K102" si="25">SUM(I93:I101)</f>
        <v>601206.73207547178</v>
      </c>
      <c r="J102" s="278">
        <f t="shared" si="25"/>
        <v>201967.88655660374</v>
      </c>
      <c r="K102" s="278">
        <f t="shared" si="25"/>
        <v>375754.20754716982</v>
      </c>
      <c r="M102" s="106">
        <f t="shared" ref="M102" si="26">+SUM(M93:M101)</f>
        <v>173352.31000000003</v>
      </c>
      <c r="N102" s="278">
        <f>SUM(N93:N101)</f>
        <v>163.53991509433965</v>
      </c>
      <c r="O102" s="278">
        <f>SUM(O93:O101)</f>
        <v>205242.59344339627</v>
      </c>
    </row>
    <row r="103" spans="1:15">
      <c r="C103" s="94"/>
      <c r="D103" s="120"/>
      <c r="E103" s="100"/>
      <c r="F103" s="50"/>
      <c r="G103" s="281"/>
      <c r="M103" s="106"/>
      <c r="N103" s="281"/>
    </row>
    <row r="104" spans="1:15">
      <c r="A104" s="35"/>
      <c r="B104" s="35" t="s">
        <v>235</v>
      </c>
      <c r="C104" s="94">
        <f>SUM(C90+C102)</f>
        <v>4064473.5699999994</v>
      </c>
      <c r="D104" s="120">
        <f>SUM(D90+D102)</f>
        <v>883205.95000000007</v>
      </c>
      <c r="E104" s="100">
        <f>SUM(E90+E102)</f>
        <v>1518814.21</v>
      </c>
      <c r="F104" s="50"/>
      <c r="G104" s="280">
        <f>SUM(G80+G88+G102)</f>
        <v>6100.4657830188671</v>
      </c>
      <c r="I104" s="280">
        <f t="shared" ref="I104:K104" si="27">SUM(I80+I88+I102)</f>
        <v>3904298.1011320758</v>
      </c>
      <c r="J104" s="280">
        <f t="shared" si="27"/>
        <v>1311600.1433490566</v>
      </c>
      <c r="K104" s="280">
        <f t="shared" si="27"/>
        <v>2440186.3132075472</v>
      </c>
      <c r="M104" s="106">
        <f>SUM(M90+M102)</f>
        <v>1004432.0100000001</v>
      </c>
      <c r="N104" s="280">
        <f>SUM(N80+N88+N102)</f>
        <v>947.57736792452829</v>
      </c>
      <c r="O104" s="280">
        <f>SUM(O80+O88+O102)</f>
        <v>1189209.5967452831</v>
      </c>
    </row>
    <row r="105" spans="1:15">
      <c r="C105" s="94"/>
      <c r="D105" s="120"/>
      <c r="E105" s="100"/>
      <c r="F105" s="50"/>
      <c r="G105" s="281"/>
      <c r="M105" s="106"/>
      <c r="N105" s="281"/>
    </row>
    <row r="106" spans="1:15">
      <c r="A106" s="31" t="s">
        <v>236</v>
      </c>
      <c r="C106" s="94"/>
      <c r="D106" s="120"/>
      <c r="E106" s="100"/>
      <c r="F106" s="50"/>
      <c r="G106" s="281"/>
      <c r="M106" s="106"/>
      <c r="N106" s="281"/>
    </row>
    <row r="107" spans="1:15" outlineLevel="1">
      <c r="A107" s="31" t="s">
        <v>237</v>
      </c>
      <c r="C107" s="94"/>
      <c r="D107" s="120"/>
      <c r="E107" s="100"/>
      <c r="F107" s="50"/>
      <c r="G107" s="281"/>
      <c r="M107" s="106"/>
      <c r="N107" s="281"/>
    </row>
    <row r="108" spans="1:15" outlineLevel="1">
      <c r="A108" s="31" t="s">
        <v>51</v>
      </c>
      <c r="B108" s="31" t="s">
        <v>50</v>
      </c>
      <c r="C108" s="95">
        <v>19462.5</v>
      </c>
      <c r="D108" s="121">
        <v>1875</v>
      </c>
      <c r="E108" s="101">
        <v>1912.5</v>
      </c>
      <c r="F108" s="60"/>
      <c r="G108" s="282">
        <f>SUM(C108:E108)/SUM(SUM!$C$4:$C$7)</f>
        <v>21.933962264150942</v>
      </c>
      <c r="I108" s="288">
        <f t="shared" ref="I108:K121" si="28">SUM(I$7*$G108)</f>
        <v>14037.735849056604</v>
      </c>
      <c r="J108" s="288">
        <f t="shared" si="28"/>
        <v>4715.8018867924529</v>
      </c>
      <c r="K108" s="288">
        <f t="shared" si="28"/>
        <v>8773.5849056603765</v>
      </c>
      <c r="M108" s="107">
        <v>172809.57</v>
      </c>
      <c r="N108" s="282">
        <f>SUM(M108/SUM(SUM!$C$4:$C$7))</f>
        <v>163.02789622641509</v>
      </c>
      <c r="O108" s="282">
        <f t="shared" ref="O108:O121" si="29">SUM(N108*$O$7)</f>
        <v>204600.00976415095</v>
      </c>
    </row>
    <row r="109" spans="1:15" outlineLevel="1">
      <c r="A109" s="31" t="s">
        <v>41</v>
      </c>
      <c r="B109" s="31" t="s">
        <v>42</v>
      </c>
      <c r="C109" s="95">
        <v>280788</v>
      </c>
      <c r="D109" s="121">
        <v>23544.38</v>
      </c>
      <c r="E109" s="101">
        <v>91500</v>
      </c>
      <c r="F109" s="60"/>
      <c r="G109" s="282">
        <f>SUM(C109:E109)/SUM(SUM!$C$4:$C$7)</f>
        <v>373.42677358490567</v>
      </c>
      <c r="I109" s="288">
        <f t="shared" si="28"/>
        <v>238993.13509433964</v>
      </c>
      <c r="J109" s="288">
        <f t="shared" si="28"/>
        <v>80286.756320754721</v>
      </c>
      <c r="K109" s="288">
        <f t="shared" si="28"/>
        <v>149370.70943396227</v>
      </c>
      <c r="M109" s="107">
        <v>0</v>
      </c>
      <c r="N109" s="282">
        <f>SUM(M109/SUM(SUM!$C$4:$C$7))</f>
        <v>0</v>
      </c>
      <c r="O109" s="282">
        <f t="shared" si="29"/>
        <v>0</v>
      </c>
    </row>
    <row r="110" spans="1:15" outlineLevel="1">
      <c r="A110" s="31" t="s">
        <v>43</v>
      </c>
      <c r="B110" s="31" t="s">
        <v>238</v>
      </c>
      <c r="C110" s="95">
        <v>5747.51</v>
      </c>
      <c r="D110" s="121">
        <v>962.71</v>
      </c>
      <c r="E110" s="101">
        <v>2844.99</v>
      </c>
      <c r="F110" s="60"/>
      <c r="G110" s="282">
        <f>SUM(C110:E110)/SUM(SUM!$C$4:$C$7)</f>
        <v>9.0143490566037734</v>
      </c>
      <c r="I110" s="288">
        <f t="shared" si="28"/>
        <v>5769.1833962264154</v>
      </c>
      <c r="J110" s="288">
        <f t="shared" si="28"/>
        <v>1938.0850471698113</v>
      </c>
      <c r="K110" s="288">
        <f t="shared" si="28"/>
        <v>3605.7396226415094</v>
      </c>
      <c r="M110" s="107">
        <v>34638</v>
      </c>
      <c r="N110" s="282">
        <f>SUM(M110/SUM(SUM!$C$4:$C$7))</f>
        <v>32.677358490566036</v>
      </c>
      <c r="O110" s="282">
        <f t="shared" si="29"/>
        <v>41010.084905660377</v>
      </c>
    </row>
    <row r="111" spans="1:15" outlineLevel="1">
      <c r="A111" s="31" t="s">
        <v>44</v>
      </c>
      <c r="B111" s="31" t="s">
        <v>45</v>
      </c>
      <c r="C111" s="95">
        <v>0</v>
      </c>
      <c r="D111" s="121"/>
      <c r="E111" s="101"/>
      <c r="F111" s="60"/>
      <c r="G111" s="282">
        <f>SUM(C111:E111)/SUM(SUM!$C$4:$C$7)</f>
        <v>0</v>
      </c>
      <c r="I111" s="288">
        <f t="shared" si="28"/>
        <v>0</v>
      </c>
      <c r="J111" s="288">
        <f t="shared" si="28"/>
        <v>0</v>
      </c>
      <c r="K111" s="288">
        <f t="shared" si="28"/>
        <v>0</v>
      </c>
      <c r="M111" s="107"/>
      <c r="N111" s="282">
        <f>SUM(M111/SUM(SUM!$C$4:$C$7))</f>
        <v>0</v>
      </c>
      <c r="O111" s="282">
        <f t="shared" si="29"/>
        <v>0</v>
      </c>
    </row>
    <row r="112" spans="1:15" outlineLevel="1">
      <c r="A112" s="31" t="s">
        <v>46</v>
      </c>
      <c r="B112" s="31" t="s">
        <v>239</v>
      </c>
      <c r="C112" s="95">
        <v>0</v>
      </c>
      <c r="D112" s="121">
        <v>97.65</v>
      </c>
      <c r="E112" s="101">
        <v>3008.13</v>
      </c>
      <c r="F112" s="60"/>
      <c r="G112" s="282">
        <f>SUM(C112:E112)/SUM(SUM!$C$4:$C$7)</f>
        <v>2.9299811320754721</v>
      </c>
      <c r="I112" s="288">
        <f t="shared" si="28"/>
        <v>1875.1879245283021</v>
      </c>
      <c r="J112" s="288">
        <f t="shared" si="28"/>
        <v>629.94594339622654</v>
      </c>
      <c r="K112" s="288">
        <f t="shared" si="28"/>
        <v>1171.9924528301888</v>
      </c>
      <c r="M112" s="107">
        <v>1639.47</v>
      </c>
      <c r="N112" s="282">
        <f>SUM(M112/SUM(SUM!$C$4:$C$7))</f>
        <v>1.5466698113207547</v>
      </c>
      <c r="O112" s="282">
        <f t="shared" si="29"/>
        <v>1941.070613207547</v>
      </c>
    </row>
    <row r="113" spans="1:15" outlineLevel="1">
      <c r="A113" s="31" t="s">
        <v>47</v>
      </c>
      <c r="B113" s="31" t="s">
        <v>240</v>
      </c>
      <c r="C113" s="95">
        <v>22455.26</v>
      </c>
      <c r="D113" s="121">
        <v>0</v>
      </c>
      <c r="E113" s="101">
        <v>0</v>
      </c>
      <c r="F113" s="60"/>
      <c r="G113" s="282">
        <f>SUM(C113:E113)/SUM(SUM!$C$4:$C$7)</f>
        <v>21.184207547169809</v>
      </c>
      <c r="I113" s="288">
        <f t="shared" si="28"/>
        <v>13557.892830188677</v>
      </c>
      <c r="J113" s="288">
        <f t="shared" si="28"/>
        <v>4554.6046226415092</v>
      </c>
      <c r="K113" s="288">
        <f t="shared" si="28"/>
        <v>8473.6830188679232</v>
      </c>
      <c r="M113" s="107">
        <v>12079.5</v>
      </c>
      <c r="N113" s="282">
        <f>SUM(M113/SUM(SUM!$C$4:$C$7))</f>
        <v>11.395754716981132</v>
      </c>
      <c r="O113" s="282">
        <f t="shared" si="29"/>
        <v>14301.672169811322</v>
      </c>
    </row>
    <row r="114" spans="1:15" outlineLevel="1">
      <c r="A114" s="31" t="s">
        <v>48</v>
      </c>
      <c r="B114" s="31" t="s">
        <v>49</v>
      </c>
      <c r="C114" s="95">
        <v>17303</v>
      </c>
      <c r="D114" s="121">
        <v>2763.24</v>
      </c>
      <c r="E114" s="101">
        <v>6118.62</v>
      </c>
      <c r="F114" s="60"/>
      <c r="G114" s="282">
        <f>SUM(C114:E114)/SUM(SUM!$C$4:$C$7)</f>
        <v>24.702698113207543</v>
      </c>
      <c r="I114" s="288">
        <f t="shared" si="28"/>
        <v>15809.726792452828</v>
      </c>
      <c r="J114" s="288">
        <f t="shared" si="28"/>
        <v>5311.0800943396216</v>
      </c>
      <c r="K114" s="288">
        <f t="shared" si="28"/>
        <v>9881.0792452830174</v>
      </c>
      <c r="M114" s="107">
        <v>10055.64</v>
      </c>
      <c r="N114" s="282">
        <f>SUM(M114/SUM(SUM!$C$4:$C$7))</f>
        <v>9.4864528301886786</v>
      </c>
      <c r="O114" s="282">
        <f t="shared" si="29"/>
        <v>11905.498301886792</v>
      </c>
    </row>
    <row r="115" spans="1:15" outlineLevel="1">
      <c r="A115" s="31" t="s">
        <v>82</v>
      </c>
      <c r="B115" s="31" t="s">
        <v>166</v>
      </c>
      <c r="C115" s="95">
        <v>75</v>
      </c>
      <c r="D115" s="121">
        <v>0</v>
      </c>
      <c r="E115" s="101">
        <v>75</v>
      </c>
      <c r="F115" s="60"/>
      <c r="G115" s="282">
        <f>SUM(C115:E115)/SUM(SUM!$C$4:$C$7)</f>
        <v>0.14150943396226415</v>
      </c>
      <c r="I115" s="288">
        <f t="shared" si="28"/>
        <v>90.566037735849051</v>
      </c>
      <c r="J115" s="288">
        <f t="shared" si="28"/>
        <v>30.424528301886792</v>
      </c>
      <c r="K115" s="288">
        <f t="shared" si="28"/>
        <v>56.60377358490566</v>
      </c>
      <c r="M115" s="107">
        <v>5022</v>
      </c>
      <c r="N115" s="282">
        <f>SUM(M115/SUM(SUM!$C$4:$C$7))</f>
        <v>4.7377358490566035</v>
      </c>
      <c r="O115" s="282">
        <f t="shared" si="29"/>
        <v>5945.8584905660373</v>
      </c>
    </row>
    <row r="116" spans="1:15" outlineLevel="1">
      <c r="A116" s="31" t="s">
        <v>104</v>
      </c>
      <c r="B116" s="31" t="s">
        <v>103</v>
      </c>
      <c r="C116" s="95">
        <v>0</v>
      </c>
      <c r="D116" s="121"/>
      <c r="E116" s="101"/>
      <c r="F116" s="60"/>
      <c r="G116" s="282">
        <f>SUM(C116:E116)/SUM(SUM!$C$4:$C$7)</f>
        <v>0</v>
      </c>
      <c r="I116" s="288">
        <f t="shared" si="28"/>
        <v>0</v>
      </c>
      <c r="J116" s="288">
        <f t="shared" si="28"/>
        <v>0</v>
      </c>
      <c r="K116" s="288">
        <f t="shared" si="28"/>
        <v>0</v>
      </c>
      <c r="M116" s="107"/>
      <c r="N116" s="282">
        <f>SUM(M116/SUM(SUM!$C$4:$C$7))</f>
        <v>0</v>
      </c>
      <c r="O116" s="282">
        <f t="shared" si="29"/>
        <v>0</v>
      </c>
    </row>
    <row r="117" spans="1:15" outlineLevel="1">
      <c r="A117" s="31" t="s">
        <v>59</v>
      </c>
      <c r="B117" s="31" t="s">
        <v>318</v>
      </c>
      <c r="C117" s="95">
        <v>2299.71</v>
      </c>
      <c r="D117" s="121">
        <v>324</v>
      </c>
      <c r="E117" s="101">
        <v>486</v>
      </c>
      <c r="F117" s="60"/>
      <c r="G117" s="282">
        <f>SUM(C117:E117)/SUM(SUM!$C$4:$C$7)</f>
        <v>2.9336886792452832</v>
      </c>
      <c r="I117" s="288">
        <f t="shared" si="28"/>
        <v>1877.5607547169811</v>
      </c>
      <c r="J117" s="288">
        <f t="shared" si="28"/>
        <v>630.74306603773584</v>
      </c>
      <c r="K117" s="288">
        <f t="shared" si="28"/>
        <v>1173.4754716981133</v>
      </c>
      <c r="M117" s="107"/>
      <c r="N117" s="282">
        <f>SUM(M117/SUM(SUM!$C$4:$C$7))</f>
        <v>0</v>
      </c>
      <c r="O117" s="282">
        <f t="shared" si="29"/>
        <v>0</v>
      </c>
    </row>
    <row r="118" spans="1:15" outlineLevel="1">
      <c r="A118" s="31" t="s">
        <v>87</v>
      </c>
      <c r="B118" s="31" t="s">
        <v>88</v>
      </c>
      <c r="C118" s="95">
        <v>5585.51</v>
      </c>
      <c r="D118" s="121">
        <v>1316.88</v>
      </c>
      <c r="E118" s="101">
        <v>9139.44</v>
      </c>
      <c r="F118" s="60"/>
      <c r="G118" s="282">
        <f>SUM(C118:E118)/SUM(SUM!$C$4:$C$7)</f>
        <v>15.133801886792455</v>
      </c>
      <c r="I118" s="288">
        <f t="shared" si="28"/>
        <v>9685.633207547171</v>
      </c>
      <c r="J118" s="288">
        <f t="shared" si="28"/>
        <v>3253.7674056603778</v>
      </c>
      <c r="K118" s="288">
        <f t="shared" si="28"/>
        <v>6053.5207547169821</v>
      </c>
      <c r="M118" s="107">
        <v>18806.3</v>
      </c>
      <c r="N118" s="282">
        <f>SUM(M118/SUM(SUM!$C$4:$C$7))</f>
        <v>17.74179245283019</v>
      </c>
      <c r="O118" s="282">
        <f t="shared" si="29"/>
        <v>22265.949528301888</v>
      </c>
    </row>
    <row r="119" spans="1:15" outlineLevel="1">
      <c r="A119" s="31" t="s">
        <v>89</v>
      </c>
      <c r="B119" s="31" t="s">
        <v>90</v>
      </c>
      <c r="C119" s="95">
        <v>4526.12</v>
      </c>
      <c r="D119" s="121">
        <v>1457.34</v>
      </c>
      <c r="E119" s="101">
        <v>3408.36</v>
      </c>
      <c r="F119" s="60"/>
      <c r="G119" s="282">
        <f>SUM(C119:E119)/SUM(SUM!$C$4:$C$7)</f>
        <v>8.8602075471698107</v>
      </c>
      <c r="I119" s="288">
        <f t="shared" si="28"/>
        <v>5670.5328301886784</v>
      </c>
      <c r="J119" s="288">
        <f t="shared" si="28"/>
        <v>1904.9446226415093</v>
      </c>
      <c r="K119" s="288">
        <f t="shared" si="28"/>
        <v>3544.0830188679242</v>
      </c>
      <c r="M119" s="107">
        <v>10437.32</v>
      </c>
      <c r="N119" s="282">
        <f>SUM(M119/SUM(SUM!$C$4:$C$7))</f>
        <v>9.8465283018867922</v>
      </c>
      <c r="O119" s="282">
        <f t="shared" si="29"/>
        <v>12357.393018867924</v>
      </c>
    </row>
    <row r="120" spans="1:15" outlineLevel="1">
      <c r="A120" s="31" t="s">
        <v>413</v>
      </c>
      <c r="B120" s="31" t="s">
        <v>414</v>
      </c>
      <c r="C120" s="95">
        <v>450</v>
      </c>
      <c r="D120" s="121">
        <v>151.88</v>
      </c>
      <c r="E120" s="101">
        <v>203188.13</v>
      </c>
      <c r="F120" s="60"/>
      <c r="G120" s="282">
        <f>SUM(C120:E120)/SUM(SUM!$C$4:$C$7)</f>
        <v>192.25472641509435</v>
      </c>
      <c r="I120" s="288">
        <f t="shared" si="28"/>
        <v>123043.02490566039</v>
      </c>
      <c r="J120" s="288">
        <f t="shared" si="28"/>
        <v>41334.766179245285</v>
      </c>
      <c r="K120" s="288">
        <f t="shared" si="28"/>
        <v>76901.890566037735</v>
      </c>
      <c r="M120" s="107"/>
      <c r="N120" s="282">
        <f>SUM(M120/SUM(SUM!$C$4:$C$7))</f>
        <v>0</v>
      </c>
      <c r="O120" s="282">
        <f t="shared" si="29"/>
        <v>0</v>
      </c>
    </row>
    <row r="121" spans="1:15" outlineLevel="1">
      <c r="A121" s="31" t="s">
        <v>52</v>
      </c>
      <c r="B121" s="31" t="s">
        <v>53</v>
      </c>
      <c r="C121" s="96">
        <v>17377.41</v>
      </c>
      <c r="D121" s="122">
        <v>1049.18</v>
      </c>
      <c r="E121" s="102">
        <v>9655.7900000000009</v>
      </c>
      <c r="F121" s="59"/>
      <c r="G121" s="283">
        <f>SUM(C121:E121)/SUM(SUM!$C$4:$C$7)</f>
        <v>26.492811320754718</v>
      </c>
      <c r="I121" s="289">
        <f t="shared" si="28"/>
        <v>16955.399245283021</v>
      </c>
      <c r="J121" s="289">
        <f t="shared" si="28"/>
        <v>5695.9544339622644</v>
      </c>
      <c r="K121" s="289">
        <f t="shared" si="28"/>
        <v>10597.124528301887</v>
      </c>
      <c r="M121" s="108">
        <f>2092.5+16273.71+14976.5</f>
        <v>33342.71</v>
      </c>
      <c r="N121" s="283">
        <f>SUM(M121/SUM(SUM!$C$4:$C$7))</f>
        <v>31.455386792452828</v>
      </c>
      <c r="O121" s="283">
        <f t="shared" si="29"/>
        <v>39476.5104245283</v>
      </c>
    </row>
    <row r="122" spans="1:15">
      <c r="B122" s="31" t="s">
        <v>241</v>
      </c>
      <c r="C122" s="94">
        <f>SUM(C108:C121)</f>
        <v>376070.02</v>
      </c>
      <c r="D122" s="120">
        <f>SUM(D108:D121)</f>
        <v>33542.26</v>
      </c>
      <c r="E122" s="100">
        <f>SUM(E108:E121)</f>
        <v>331336.96000000002</v>
      </c>
      <c r="F122" s="50"/>
      <c r="G122" s="278">
        <f>SUM(G108:G121)</f>
        <v>699.00871698113201</v>
      </c>
      <c r="I122" s="278">
        <f t="shared" ref="I122:K122" si="30">SUM(I108:I121)</f>
        <v>447365.57886792457</v>
      </c>
      <c r="J122" s="278">
        <f t="shared" si="30"/>
        <v>150286.87415094339</v>
      </c>
      <c r="K122" s="278">
        <f t="shared" si="30"/>
        <v>279603.48679245281</v>
      </c>
      <c r="M122" s="106">
        <f>SUM(M108:M121)</f>
        <v>298830.51</v>
      </c>
      <c r="N122" s="278">
        <f>SUM(N108:N121)</f>
        <v>281.91557547169816</v>
      </c>
      <c r="O122" s="278">
        <f>SUM(O108:O121)</f>
        <v>353804.04721698118</v>
      </c>
    </row>
    <row r="123" spans="1:15">
      <c r="C123" s="94"/>
      <c r="D123" s="120"/>
      <c r="E123" s="100"/>
      <c r="F123" s="50"/>
      <c r="G123" s="281"/>
      <c r="M123" s="106"/>
      <c r="N123" s="281"/>
    </row>
    <row r="124" spans="1:15" outlineLevel="1">
      <c r="A124" s="31" t="s">
        <v>242</v>
      </c>
      <c r="C124" s="94"/>
      <c r="D124" s="120"/>
      <c r="E124" s="100"/>
      <c r="F124" s="50"/>
      <c r="G124" s="281"/>
      <c r="M124" s="106"/>
      <c r="N124" s="281"/>
    </row>
    <row r="125" spans="1:15" outlineLevel="1">
      <c r="A125" s="31" t="s">
        <v>56</v>
      </c>
      <c r="B125" s="31" t="s">
        <v>245</v>
      </c>
      <c r="C125" s="95">
        <v>398.88</v>
      </c>
      <c r="D125" s="121">
        <v>5967.89</v>
      </c>
      <c r="E125" s="101"/>
      <c r="F125" s="60"/>
      <c r="G125" s="282">
        <f>SUM(C125:E125)/SUM(SUM!$C$4:$C$7)</f>
        <v>6.0063867924528305</v>
      </c>
      <c r="I125" s="288">
        <f t="shared" ref="I125:K132" si="31">SUM(I$7*$G125)</f>
        <v>3844.0875471698114</v>
      </c>
      <c r="J125" s="288">
        <f t="shared" si="31"/>
        <v>1291.3731603773585</v>
      </c>
      <c r="K125" s="288">
        <f t="shared" si="31"/>
        <v>2402.5547169811321</v>
      </c>
      <c r="M125" s="107"/>
      <c r="N125" s="282">
        <f>SUM(M125/SUM(SUM!$C$4:$C$7))</f>
        <v>0</v>
      </c>
      <c r="O125" s="282">
        <f t="shared" ref="O125:O132" si="32">SUM(N125*$O$7)</f>
        <v>0</v>
      </c>
    </row>
    <row r="126" spans="1:15" outlineLevel="1">
      <c r="A126" s="31" t="s">
        <v>57</v>
      </c>
      <c r="B126" s="31" t="s">
        <v>246</v>
      </c>
      <c r="C126" s="95">
        <v>6042.48</v>
      </c>
      <c r="D126" s="121">
        <v>4290.72</v>
      </c>
      <c r="E126" s="101">
        <v>4198.59</v>
      </c>
      <c r="F126" s="60"/>
      <c r="G126" s="282">
        <f>SUM(C126:E126)/SUM(SUM!$C$4:$C$7)</f>
        <v>13.709235849056604</v>
      </c>
      <c r="I126" s="288">
        <f t="shared" si="31"/>
        <v>8773.9109433962258</v>
      </c>
      <c r="J126" s="288">
        <f t="shared" si="31"/>
        <v>2947.48570754717</v>
      </c>
      <c r="K126" s="288">
        <f t="shared" si="31"/>
        <v>5483.6943396226416</v>
      </c>
      <c r="M126" s="107">
        <v>16.350000000000001</v>
      </c>
      <c r="N126" s="282">
        <f>SUM(M126/SUM(SUM!$C$4:$C$7))</f>
        <v>1.5424528301886793E-2</v>
      </c>
      <c r="O126" s="282">
        <f t="shared" si="32"/>
        <v>19.357783018867927</v>
      </c>
    </row>
    <row r="127" spans="1:15" outlineLevel="1">
      <c r="A127" s="31" t="s">
        <v>58</v>
      </c>
      <c r="B127" s="31" t="s">
        <v>247</v>
      </c>
      <c r="C127" s="95">
        <v>1776.56</v>
      </c>
      <c r="D127" s="121">
        <v>663.93</v>
      </c>
      <c r="E127" s="101">
        <v>303</v>
      </c>
      <c r="F127" s="60"/>
      <c r="G127" s="282">
        <f>SUM(C127:E127)/SUM(SUM!$C$4:$C$7)</f>
        <v>2.5881981132075471</v>
      </c>
      <c r="I127" s="288">
        <f t="shared" si="31"/>
        <v>1656.4467924528301</v>
      </c>
      <c r="J127" s="288">
        <f t="shared" si="31"/>
        <v>556.46259433962268</v>
      </c>
      <c r="K127" s="288">
        <f t="shared" si="31"/>
        <v>1035.2792452830188</v>
      </c>
      <c r="M127" s="107"/>
      <c r="N127" s="282">
        <f>SUM(M127/SUM(SUM!$C$4:$C$7))</f>
        <v>0</v>
      </c>
      <c r="O127" s="282">
        <f t="shared" si="32"/>
        <v>0</v>
      </c>
    </row>
    <row r="128" spans="1:15" outlineLevel="1">
      <c r="A128" s="31" t="s">
        <v>55</v>
      </c>
      <c r="B128" s="31" t="s">
        <v>244</v>
      </c>
      <c r="C128" s="95">
        <v>4498.3999999999996</v>
      </c>
      <c r="D128" s="121">
        <v>52.46</v>
      </c>
      <c r="E128" s="101"/>
      <c r="F128" s="60"/>
      <c r="G128" s="282">
        <f>SUM(C128:E128)/SUM(SUM!$C$4:$C$7)</f>
        <v>4.2932641509433962</v>
      </c>
      <c r="I128" s="288">
        <f t="shared" si="31"/>
        <v>2747.6890566037737</v>
      </c>
      <c r="J128" s="288">
        <f t="shared" si="31"/>
        <v>923.05179245283023</v>
      </c>
      <c r="K128" s="288">
        <f t="shared" si="31"/>
        <v>1717.3056603773584</v>
      </c>
      <c r="M128" s="107"/>
      <c r="N128" s="282">
        <f>SUM(M128/SUM(SUM!$C$4:$C$7))</f>
        <v>0</v>
      </c>
      <c r="O128" s="282">
        <f t="shared" si="32"/>
        <v>0</v>
      </c>
    </row>
    <row r="129" spans="1:15" outlineLevel="1">
      <c r="A129" s="31" t="s">
        <v>54</v>
      </c>
      <c r="B129" s="31" t="s">
        <v>243</v>
      </c>
      <c r="C129" s="95">
        <v>55989.15</v>
      </c>
      <c r="D129" s="121">
        <v>21958.28</v>
      </c>
      <c r="E129" s="101"/>
      <c r="F129" s="60"/>
      <c r="G129" s="282">
        <f>SUM(C129:E129)/SUM(SUM!$C$4:$C$7)</f>
        <v>73.535311320754715</v>
      </c>
      <c r="I129" s="288">
        <f t="shared" si="31"/>
        <v>47062.599245283018</v>
      </c>
      <c r="J129" s="288">
        <f t="shared" si="31"/>
        <v>15810.091933962263</v>
      </c>
      <c r="K129" s="288">
        <f t="shared" si="31"/>
        <v>29414.124528301887</v>
      </c>
      <c r="M129" s="107"/>
      <c r="N129" s="282">
        <f>SUM(M129/SUM(SUM!$C$4:$C$7))</f>
        <v>0</v>
      </c>
      <c r="O129" s="282">
        <f t="shared" si="32"/>
        <v>0</v>
      </c>
    </row>
    <row r="130" spans="1:15" outlineLevel="1">
      <c r="A130" s="31" t="s">
        <v>60</v>
      </c>
      <c r="B130" s="31" t="s">
        <v>61</v>
      </c>
      <c r="C130" s="95">
        <v>169764.59</v>
      </c>
      <c r="D130" s="121">
        <v>11576.96</v>
      </c>
      <c r="E130" s="101">
        <v>9687.6200000000008</v>
      </c>
      <c r="F130" s="60"/>
      <c r="G130" s="282">
        <f>SUM(C130:E130)/SUM(SUM!$C$4:$C$7)</f>
        <v>180.21619811320753</v>
      </c>
      <c r="I130" s="288">
        <f t="shared" si="31"/>
        <v>115338.36679245281</v>
      </c>
      <c r="J130" s="288">
        <f t="shared" si="31"/>
        <v>38746.482594339621</v>
      </c>
      <c r="K130" s="288">
        <f t="shared" si="31"/>
        <v>72086.479245283015</v>
      </c>
      <c r="M130" s="107">
        <v>2287.56</v>
      </c>
      <c r="N130" s="282">
        <f>SUM(M130/SUM(SUM!$C$4:$C$7))</f>
        <v>2.1580754716981132</v>
      </c>
      <c r="O130" s="282">
        <f t="shared" si="32"/>
        <v>2708.384716981132</v>
      </c>
    </row>
    <row r="131" spans="1:15" outlineLevel="1">
      <c r="A131" s="31" t="s">
        <v>411</v>
      </c>
      <c r="B131" s="31" t="s">
        <v>412</v>
      </c>
      <c r="C131" s="95"/>
      <c r="D131" s="121">
        <v>82050</v>
      </c>
      <c r="E131" s="101">
        <v>205799.76</v>
      </c>
      <c r="F131" s="60"/>
      <c r="G131" s="282">
        <f>SUM(C131:E131)/SUM(SUM!$C$4:$C$7)</f>
        <v>271.55637735849058</v>
      </c>
      <c r="I131" s="288">
        <f t="shared" si="31"/>
        <v>173796.08150943398</v>
      </c>
      <c r="J131" s="288">
        <f t="shared" si="31"/>
        <v>58384.621132075474</v>
      </c>
      <c r="K131" s="288">
        <f t="shared" si="31"/>
        <v>108622.55094339623</v>
      </c>
      <c r="M131" s="107"/>
      <c r="N131" s="282">
        <f>SUM(M131/SUM(SUM!$C$4:$C$7))</f>
        <v>0</v>
      </c>
      <c r="O131" s="282">
        <f t="shared" si="32"/>
        <v>0</v>
      </c>
    </row>
    <row r="132" spans="1:15" outlineLevel="1">
      <c r="A132" s="31" t="s">
        <v>62</v>
      </c>
      <c r="B132" s="31" t="s">
        <v>248</v>
      </c>
      <c r="C132" s="96">
        <v>12248.45</v>
      </c>
      <c r="D132" s="122">
        <v>388.97</v>
      </c>
      <c r="E132" s="102">
        <v>12723.53</v>
      </c>
      <c r="F132" s="59"/>
      <c r="G132" s="283">
        <f>SUM(C132:E132)/SUM(SUM!$C$4:$C$7)</f>
        <v>23.925424528301889</v>
      </c>
      <c r="I132" s="289">
        <f t="shared" si="31"/>
        <v>15312.271698113209</v>
      </c>
      <c r="J132" s="289">
        <f t="shared" si="31"/>
        <v>5143.966273584906</v>
      </c>
      <c r="K132" s="289">
        <f t="shared" si="31"/>
        <v>9570.1698113207549</v>
      </c>
      <c r="M132" s="108"/>
      <c r="N132" s="283">
        <f>SUM(M132/SUM(SUM!$C$4:$C$7))</f>
        <v>0</v>
      </c>
      <c r="O132" s="283">
        <f t="shared" si="32"/>
        <v>0</v>
      </c>
    </row>
    <row r="133" spans="1:15">
      <c r="B133" s="31" t="s">
        <v>249</v>
      </c>
      <c r="C133" s="94">
        <f>SUM(C125:C132)</f>
        <v>250718.51</v>
      </c>
      <c r="D133" s="120">
        <f>SUM(D125:D132)</f>
        <v>126949.20999999999</v>
      </c>
      <c r="E133" s="100">
        <f>SUM(E125:E132)</f>
        <v>232712.5</v>
      </c>
      <c r="F133" s="50"/>
      <c r="G133" s="278">
        <f>SUM(G125:G132)</f>
        <v>575.83039622641513</v>
      </c>
      <c r="I133" s="278">
        <f t="shared" ref="I133:K133" si="33">SUM(I125:I132)</f>
        <v>368531.4535849056</v>
      </c>
      <c r="J133" s="278">
        <f t="shared" si="33"/>
        <v>123803.53518867925</v>
      </c>
      <c r="K133" s="278">
        <f t="shared" si="33"/>
        <v>230332.15849056604</v>
      </c>
      <c r="M133" s="106">
        <f>SUM(M125:M132)</f>
        <v>2303.91</v>
      </c>
      <c r="N133" s="278">
        <f>SUM(N125:N132)</f>
        <v>2.1735000000000002</v>
      </c>
      <c r="O133" s="278">
        <f>SUM(O125:O132)</f>
        <v>2727.7424999999998</v>
      </c>
    </row>
    <row r="134" spans="1:15">
      <c r="C134" s="94"/>
      <c r="D134" s="120"/>
      <c r="E134" s="100"/>
      <c r="F134" s="50"/>
      <c r="G134" s="281"/>
      <c r="M134" s="106"/>
      <c r="N134" s="281"/>
    </row>
    <row r="135" spans="1:15" outlineLevel="1">
      <c r="A135" s="31" t="s">
        <v>250</v>
      </c>
      <c r="C135" s="94"/>
      <c r="D135" s="120"/>
      <c r="E135" s="100"/>
      <c r="F135" s="50"/>
      <c r="G135" s="281"/>
      <c r="M135" s="106"/>
      <c r="N135" s="281"/>
    </row>
    <row r="136" spans="1:15" outlineLevel="1">
      <c r="A136" s="31" t="s">
        <v>251</v>
      </c>
      <c r="C136" s="94"/>
      <c r="D136" s="120"/>
      <c r="E136" s="100"/>
      <c r="F136" s="50"/>
      <c r="G136" s="281"/>
      <c r="M136" s="106"/>
      <c r="N136" s="281"/>
    </row>
    <row r="137" spans="1:15" outlineLevel="1">
      <c r="A137" s="31" t="s">
        <v>63</v>
      </c>
      <c r="B137" s="31" t="s">
        <v>252</v>
      </c>
      <c r="C137" s="95">
        <v>9932.8799999999992</v>
      </c>
      <c r="D137" s="121">
        <v>3634.05</v>
      </c>
      <c r="E137" s="101">
        <v>4806.6899999999996</v>
      </c>
      <c r="F137" s="60"/>
      <c r="G137" s="282">
        <f>SUM(C137:E137)/SUM(SUM!$C$4:$C$7)</f>
        <v>17.333603773584905</v>
      </c>
      <c r="I137" s="288">
        <f t="shared" ref="I137:K140" si="34">SUM(I$7*$G137)</f>
        <v>11093.50641509434</v>
      </c>
      <c r="J137" s="288">
        <f t="shared" si="34"/>
        <v>3726.7248113207547</v>
      </c>
      <c r="K137" s="288">
        <f t="shared" si="34"/>
        <v>6933.441509433962</v>
      </c>
      <c r="M137" s="107">
        <v>1497.83</v>
      </c>
      <c r="N137" s="282">
        <f>SUM(M137/SUM(SUM!$C$4:$C$7))</f>
        <v>1.4130471698113207</v>
      </c>
      <c r="O137" s="282">
        <f t="shared" ref="O137:O140" si="35">SUM(N137*$O$7)</f>
        <v>1773.3741981132075</v>
      </c>
    </row>
    <row r="138" spans="1:15" outlineLevel="1">
      <c r="A138" s="31" t="s">
        <v>64</v>
      </c>
      <c r="B138" s="31" t="s">
        <v>253</v>
      </c>
      <c r="C138" s="95">
        <v>96092.99</v>
      </c>
      <c r="D138" s="121">
        <v>16600.73</v>
      </c>
      <c r="E138" s="101">
        <v>55547.67</v>
      </c>
      <c r="F138" s="60"/>
      <c r="G138" s="282">
        <f>SUM(C138:E138)/SUM(SUM!$C$4:$C$7)</f>
        <v>158.71829245283021</v>
      </c>
      <c r="I138" s="288">
        <f t="shared" si="34"/>
        <v>101579.70716981133</v>
      </c>
      <c r="J138" s="288">
        <f t="shared" si="34"/>
        <v>34124.432877358493</v>
      </c>
      <c r="K138" s="288">
        <f t="shared" si="34"/>
        <v>63487.316981132084</v>
      </c>
      <c r="M138" s="107">
        <v>1915.31</v>
      </c>
      <c r="N138" s="282">
        <f>SUM(M138/SUM(SUM!$C$4:$C$7))</f>
        <v>1.8068962264150943</v>
      </c>
      <c r="O138" s="282">
        <f t="shared" si="35"/>
        <v>2267.6547641509433</v>
      </c>
    </row>
    <row r="139" spans="1:15" outlineLevel="1">
      <c r="A139" s="31" t="s">
        <v>417</v>
      </c>
      <c r="B139" s="31" t="s">
        <v>418</v>
      </c>
      <c r="C139" s="95"/>
      <c r="D139" s="121"/>
      <c r="E139" s="101"/>
      <c r="F139" s="60"/>
      <c r="G139" s="282">
        <f>SUM(C139:E139)/SUM(SUM!$C$4:$C$7)</f>
        <v>0</v>
      </c>
      <c r="I139" s="288">
        <f t="shared" si="34"/>
        <v>0</v>
      </c>
      <c r="J139" s="288">
        <f t="shared" si="34"/>
        <v>0</v>
      </c>
      <c r="K139" s="288">
        <f t="shared" si="34"/>
        <v>0</v>
      </c>
      <c r="M139" s="107">
        <v>7170.26</v>
      </c>
      <c r="N139" s="282">
        <f>SUM(M139/SUM(SUM!$C$4:$C$7))</f>
        <v>6.7643962264150943</v>
      </c>
      <c r="O139" s="282">
        <f t="shared" si="35"/>
        <v>8489.3172641509427</v>
      </c>
    </row>
    <row r="140" spans="1:15" outlineLevel="1">
      <c r="A140" s="31" t="s">
        <v>65</v>
      </c>
      <c r="B140" s="31" t="s">
        <v>254</v>
      </c>
      <c r="C140" s="96"/>
      <c r="D140" s="122"/>
      <c r="E140" s="102"/>
      <c r="F140" s="59"/>
      <c r="G140" s="283">
        <f>SUM(C140:E140)/SUM(SUM!$C$4:$C$7)</f>
        <v>0</v>
      </c>
      <c r="I140" s="289">
        <f t="shared" si="34"/>
        <v>0</v>
      </c>
      <c r="J140" s="289">
        <f t="shared" si="34"/>
        <v>0</v>
      </c>
      <c r="K140" s="289">
        <f t="shared" si="34"/>
        <v>0</v>
      </c>
      <c r="M140" s="108">
        <v>4611.08</v>
      </c>
      <c r="N140" s="283">
        <f>SUM(M140/SUM(SUM!$C$4:$C$7))</f>
        <v>4.3500754716981129</v>
      </c>
      <c r="O140" s="283">
        <f t="shared" si="35"/>
        <v>5459.3447169811316</v>
      </c>
    </row>
    <row r="141" spans="1:15">
      <c r="B141" s="31" t="s">
        <v>255</v>
      </c>
      <c r="C141" s="94">
        <f>SUM(C137:C140)</f>
        <v>106025.87000000001</v>
      </c>
      <c r="D141" s="120">
        <f>SUM(D137:D140)</f>
        <v>20234.78</v>
      </c>
      <c r="E141" s="100">
        <f>SUM(E137:E140)</f>
        <v>60354.36</v>
      </c>
      <c r="F141" s="50"/>
      <c r="G141" s="278">
        <f>SUM(G137:G140)</f>
        <v>176.05189622641512</v>
      </c>
      <c r="I141" s="278">
        <f t="shared" ref="I141:K141" si="36">SUM(I137:I140)</f>
        <v>112673.21358490566</v>
      </c>
      <c r="J141" s="278">
        <f t="shared" si="36"/>
        <v>37851.157688679246</v>
      </c>
      <c r="K141" s="278">
        <f t="shared" si="36"/>
        <v>70420.758490566048</v>
      </c>
      <c r="M141" s="106">
        <f>SUM(M137:M140)</f>
        <v>15194.48</v>
      </c>
      <c r="N141" s="278">
        <f>SUM(N137:N140)</f>
        <v>14.334415094339622</v>
      </c>
      <c r="O141" s="278">
        <f>SUM(O137:O140)</f>
        <v>17989.690943396225</v>
      </c>
    </row>
    <row r="142" spans="1:15">
      <c r="C142" s="94"/>
      <c r="D142" s="120"/>
      <c r="E142" s="100"/>
      <c r="F142" s="50"/>
      <c r="G142" s="281"/>
      <c r="M142" s="106"/>
      <c r="N142" s="281"/>
    </row>
    <row r="143" spans="1:15" outlineLevel="1">
      <c r="A143" s="31" t="s">
        <v>256</v>
      </c>
      <c r="C143" s="94"/>
      <c r="D143" s="120"/>
      <c r="E143" s="100"/>
      <c r="F143" s="50"/>
      <c r="G143" s="281"/>
      <c r="M143" s="106"/>
      <c r="N143" s="281"/>
    </row>
    <row r="144" spans="1:15" outlineLevel="1">
      <c r="A144" s="31" t="s">
        <v>66</v>
      </c>
      <c r="B144" s="31" t="s">
        <v>257</v>
      </c>
      <c r="C144" s="95">
        <v>3047.96</v>
      </c>
      <c r="D144" s="121">
        <v>1523.96</v>
      </c>
      <c r="E144" s="101">
        <v>1523.94</v>
      </c>
      <c r="F144" s="60"/>
      <c r="G144" s="282">
        <f>SUM(C144:E144)/SUM(SUM!$C$4:$C$7)</f>
        <v>5.7508113207547176</v>
      </c>
      <c r="I144" s="288">
        <f t="shared" ref="I144:K149" si="37">SUM(I$7*$G144)</f>
        <v>3680.5192452830192</v>
      </c>
      <c r="J144" s="288">
        <f t="shared" si="37"/>
        <v>1236.4244339622642</v>
      </c>
      <c r="K144" s="288">
        <f t="shared" si="37"/>
        <v>2300.3245283018869</v>
      </c>
      <c r="M144" s="107">
        <v>10729.32</v>
      </c>
      <c r="N144" s="282">
        <f>SUM(M144/SUM(SUM!$C$4:$C$7))</f>
        <v>10.122</v>
      </c>
      <c r="O144" s="282">
        <f t="shared" ref="O144:O149" si="38">SUM(N144*$O$7)</f>
        <v>12703.11</v>
      </c>
    </row>
    <row r="145" spans="1:15" outlineLevel="1">
      <c r="A145" s="31" t="s">
        <v>67</v>
      </c>
      <c r="B145" s="31" t="s">
        <v>258</v>
      </c>
      <c r="C145" s="95"/>
      <c r="D145" s="121"/>
      <c r="E145" s="101"/>
      <c r="F145" s="60"/>
      <c r="G145" s="282">
        <f>SUM(C145:E145)/SUM(SUM!$C$4:$C$7)</f>
        <v>0</v>
      </c>
      <c r="I145" s="288">
        <f t="shared" si="37"/>
        <v>0</v>
      </c>
      <c r="J145" s="288">
        <f t="shared" si="37"/>
        <v>0</v>
      </c>
      <c r="K145" s="288">
        <f t="shared" si="37"/>
        <v>0</v>
      </c>
      <c r="M145" s="107"/>
      <c r="N145" s="282">
        <f>SUM(M145/SUM(SUM!$C$4:$C$7))</f>
        <v>0</v>
      </c>
      <c r="O145" s="282">
        <f t="shared" si="38"/>
        <v>0</v>
      </c>
    </row>
    <row r="146" spans="1:15" outlineLevel="1">
      <c r="A146" s="31" t="s">
        <v>68</v>
      </c>
      <c r="B146" s="31" t="s">
        <v>259</v>
      </c>
      <c r="C146" s="95">
        <v>3866.7</v>
      </c>
      <c r="D146" s="121">
        <v>1559.18</v>
      </c>
      <c r="E146" s="101">
        <v>1942.97</v>
      </c>
      <c r="F146" s="60"/>
      <c r="G146" s="282">
        <f>SUM(C146:E146)/SUM(SUM!$C$4:$C$7)</f>
        <v>6.9517452830188686</v>
      </c>
      <c r="I146" s="288">
        <f t="shared" si="37"/>
        <v>4449.116981132076</v>
      </c>
      <c r="J146" s="288">
        <f t="shared" si="37"/>
        <v>1494.6252358490567</v>
      </c>
      <c r="K146" s="288">
        <f t="shared" si="37"/>
        <v>2780.6981132075475</v>
      </c>
      <c r="M146" s="107">
        <v>11114.49</v>
      </c>
      <c r="N146" s="282">
        <f>SUM(M146/SUM(SUM!$C$4:$C$7))</f>
        <v>10.485367924528301</v>
      </c>
      <c r="O146" s="282">
        <f t="shared" si="38"/>
        <v>13159.136745283018</v>
      </c>
    </row>
    <row r="147" spans="1:15" outlineLevel="1">
      <c r="A147" s="31" t="s">
        <v>69</v>
      </c>
      <c r="B147" s="31" t="s">
        <v>260</v>
      </c>
      <c r="C147" s="95">
        <v>0</v>
      </c>
      <c r="D147" s="121"/>
      <c r="E147" s="101">
        <v>4500</v>
      </c>
      <c r="F147" s="60"/>
      <c r="G147" s="282">
        <f>SUM(C147:E147)/SUM(SUM!$C$4:$C$7)</f>
        <v>4.2452830188679247</v>
      </c>
      <c r="I147" s="288">
        <f t="shared" si="37"/>
        <v>2716.9811320754716</v>
      </c>
      <c r="J147" s="288">
        <f t="shared" si="37"/>
        <v>912.7358490566038</v>
      </c>
      <c r="K147" s="288">
        <f t="shared" si="37"/>
        <v>1698.1132075471698</v>
      </c>
      <c r="M147" s="107">
        <v>16610</v>
      </c>
      <c r="N147" s="282">
        <f>SUM(M147/SUM(SUM!$C$4:$C$7))</f>
        <v>15.669811320754716</v>
      </c>
      <c r="O147" s="282">
        <f t="shared" si="38"/>
        <v>19665.613207547169</v>
      </c>
    </row>
    <row r="148" spans="1:15" outlineLevel="1">
      <c r="A148" s="31" t="s">
        <v>70</v>
      </c>
      <c r="B148" s="31" t="s">
        <v>261</v>
      </c>
      <c r="C148" s="95">
        <v>2825.69</v>
      </c>
      <c r="D148" s="121"/>
      <c r="E148" s="101">
        <v>5480.57</v>
      </c>
      <c r="F148" s="60"/>
      <c r="G148" s="282">
        <f>SUM(C148:E148)/SUM(SUM!$C$4:$C$7)</f>
        <v>7.8360943396226421</v>
      </c>
      <c r="I148" s="288">
        <f t="shared" si="37"/>
        <v>5015.1003773584907</v>
      </c>
      <c r="J148" s="288">
        <f t="shared" si="37"/>
        <v>1684.760283018868</v>
      </c>
      <c r="K148" s="288">
        <f t="shared" si="37"/>
        <v>3134.4377358490569</v>
      </c>
      <c r="M148" s="107">
        <v>1393.01</v>
      </c>
      <c r="N148" s="282">
        <f>SUM(M148/SUM(SUM!$C$4:$C$7))</f>
        <v>1.3141603773584905</v>
      </c>
      <c r="O148" s="282">
        <f t="shared" si="38"/>
        <v>1649.2712735849054</v>
      </c>
    </row>
    <row r="149" spans="1:15" outlineLevel="1">
      <c r="A149" s="31" t="s">
        <v>425</v>
      </c>
      <c r="B149" s="31" t="s">
        <v>427</v>
      </c>
      <c r="C149" s="96">
        <v>1800.12</v>
      </c>
      <c r="D149" s="122">
        <v>1049.42</v>
      </c>
      <c r="E149" s="102">
        <v>12167.42</v>
      </c>
      <c r="F149" s="59"/>
      <c r="G149" s="283">
        <f>SUM(C149:E149)/SUM(SUM!$C$4:$C$7)</f>
        <v>14.166943396226415</v>
      </c>
      <c r="I149" s="289">
        <f t="shared" si="37"/>
        <v>9066.8437735849056</v>
      </c>
      <c r="J149" s="289">
        <f t="shared" si="37"/>
        <v>3045.8928301886795</v>
      </c>
      <c r="K149" s="289">
        <f t="shared" si="37"/>
        <v>5666.7773584905663</v>
      </c>
      <c r="M149" s="108">
        <v>2593.65</v>
      </c>
      <c r="N149" s="283">
        <f>SUM(M149/SUM(SUM!$C$4:$C$7))</f>
        <v>2.4468396226415097</v>
      </c>
      <c r="O149" s="283">
        <f t="shared" si="38"/>
        <v>3070.7837264150949</v>
      </c>
    </row>
    <row r="150" spans="1:15">
      <c r="B150" s="31" t="s">
        <v>262</v>
      </c>
      <c r="C150" s="94">
        <f>SUM(C144:C149)</f>
        <v>11540.470000000001</v>
      </c>
      <c r="D150" s="120">
        <f>SUM(D144:D149)</f>
        <v>4132.5600000000004</v>
      </c>
      <c r="E150" s="100">
        <f>SUM(E144:E149)</f>
        <v>25614.9</v>
      </c>
      <c r="F150" s="50"/>
      <c r="G150" s="278">
        <f>SUM(G144:G149)</f>
        <v>38.950877358490565</v>
      </c>
      <c r="I150" s="278">
        <f t="shared" ref="I150:K150" si="39">SUM(I144:I149)</f>
        <v>24928.561509433963</v>
      </c>
      <c r="J150" s="278">
        <f t="shared" si="39"/>
        <v>8374.4386320754729</v>
      </c>
      <c r="K150" s="278">
        <f t="shared" si="39"/>
        <v>15580.350943396228</v>
      </c>
      <c r="M150" s="106">
        <f>SUM(M144:M149)</f>
        <v>42440.47</v>
      </c>
      <c r="N150" s="278">
        <f>SUM(N144:N149)</f>
        <v>40.038179245283018</v>
      </c>
      <c r="O150" s="278">
        <f>SUM(O144:O149)</f>
        <v>50247.914952830186</v>
      </c>
    </row>
    <row r="151" spans="1:15">
      <c r="C151" s="94"/>
      <c r="D151" s="120"/>
      <c r="E151" s="100"/>
      <c r="F151" s="50"/>
      <c r="G151" s="281"/>
      <c r="M151" s="106"/>
      <c r="N151" s="281"/>
    </row>
    <row r="152" spans="1:15" outlineLevel="1">
      <c r="A152" s="31" t="s">
        <v>263</v>
      </c>
      <c r="C152" s="94"/>
      <c r="D152" s="120"/>
      <c r="E152" s="100"/>
      <c r="F152" s="50"/>
      <c r="G152" s="281"/>
      <c r="M152" s="106"/>
      <c r="N152" s="281"/>
    </row>
    <row r="153" spans="1:15" outlineLevel="1">
      <c r="A153" s="31" t="s">
        <v>264</v>
      </c>
      <c r="C153" s="94"/>
      <c r="D153" s="120"/>
      <c r="E153" s="100"/>
      <c r="F153" s="50"/>
      <c r="G153" s="281"/>
      <c r="M153" s="106"/>
      <c r="N153" s="281"/>
    </row>
    <row r="154" spans="1:15" outlineLevel="1">
      <c r="A154" s="31" t="s">
        <v>71</v>
      </c>
      <c r="B154" s="31" t="s">
        <v>72</v>
      </c>
      <c r="C154" s="96">
        <v>14061.41</v>
      </c>
      <c r="D154" s="122">
        <v>735.11</v>
      </c>
      <c r="E154" s="102">
        <v>8612.76</v>
      </c>
      <c r="F154" s="59"/>
      <c r="G154" s="283">
        <f>SUM(C154:E154)/SUM(SUM!$C$4:$C$7)</f>
        <v>22.084226415094339</v>
      </c>
      <c r="I154" s="289">
        <f>SUM(I$7*$G154)</f>
        <v>14133.904905660376</v>
      </c>
      <c r="J154" s="289">
        <f>SUM(J$7*$G154)</f>
        <v>4748.1086792452825</v>
      </c>
      <c r="K154" s="289">
        <f>SUM(K$7*$G154)</f>
        <v>8833.6905660377361</v>
      </c>
      <c r="M154" s="108">
        <v>18629.669999999998</v>
      </c>
      <c r="N154" s="283">
        <f>SUM(M154/SUM(SUM!$C$4:$C$7))</f>
        <v>17.57516037735849</v>
      </c>
      <c r="O154" s="283">
        <f t="shared" ref="O154" si="40">SUM(N154*$O$7)</f>
        <v>22056.826273584906</v>
      </c>
    </row>
    <row r="155" spans="1:15">
      <c r="B155" s="31" t="s">
        <v>265</v>
      </c>
      <c r="C155" s="94">
        <f>SUM(C154)</f>
        <v>14061.41</v>
      </c>
      <c r="D155" s="120">
        <f>SUM(D154)</f>
        <v>735.11</v>
      </c>
      <c r="E155" s="100">
        <f>SUM(E154)</f>
        <v>8612.76</v>
      </c>
      <c r="F155" s="50"/>
      <c r="G155" s="278">
        <f>SUM(G154)</f>
        <v>22.084226415094339</v>
      </c>
      <c r="I155" s="278">
        <f t="shared" ref="I155:K155" si="41">SUM(I154)</f>
        <v>14133.904905660376</v>
      </c>
      <c r="J155" s="278">
        <f t="shared" si="41"/>
        <v>4748.1086792452825</v>
      </c>
      <c r="K155" s="278">
        <f t="shared" si="41"/>
        <v>8833.6905660377361</v>
      </c>
      <c r="M155" s="106">
        <f>SUM(M154)</f>
        <v>18629.669999999998</v>
      </c>
      <c r="N155" s="278">
        <f>SUM(N154)</f>
        <v>17.57516037735849</v>
      </c>
      <c r="O155" s="278">
        <f>SUM(O154)</f>
        <v>22056.826273584906</v>
      </c>
    </row>
    <row r="156" spans="1:15">
      <c r="C156" s="94"/>
      <c r="D156" s="120"/>
      <c r="E156" s="100"/>
      <c r="F156" s="50"/>
      <c r="G156" s="281"/>
      <c r="M156" s="106"/>
      <c r="N156" s="281"/>
    </row>
    <row r="157" spans="1:15" outlineLevel="1">
      <c r="A157" s="31" t="s">
        <v>266</v>
      </c>
      <c r="C157" s="94"/>
      <c r="D157" s="120"/>
      <c r="E157" s="100"/>
      <c r="F157" s="50"/>
      <c r="G157" s="281"/>
      <c r="M157" s="106"/>
      <c r="N157" s="281"/>
    </row>
    <row r="158" spans="1:15" outlineLevel="1">
      <c r="A158" s="31" t="s">
        <v>73</v>
      </c>
      <c r="B158" s="31" t="s">
        <v>74</v>
      </c>
      <c r="C158" s="95">
        <v>203726.6</v>
      </c>
      <c r="D158" s="121">
        <v>71301.539999999994</v>
      </c>
      <c r="E158" s="101">
        <v>236276.59</v>
      </c>
      <c r="F158" s="60"/>
      <c r="G158" s="282">
        <f>SUM(C158:E158)/SUM(SUM!$C$4:$C$7)</f>
        <v>482.36295283018865</v>
      </c>
      <c r="I158" s="288">
        <f t="shared" ref="I158:K170" si="42">SUM(I$7*$G158)</f>
        <v>308712.28981132072</v>
      </c>
      <c r="J158" s="288">
        <f t="shared" si="42"/>
        <v>103708.03485849056</v>
      </c>
      <c r="K158" s="288">
        <f t="shared" si="42"/>
        <v>192945.18113207546</v>
      </c>
      <c r="M158" s="107">
        <v>23444.49</v>
      </c>
      <c r="N158" s="282">
        <f>SUM(M158/SUM(SUM!$C$4:$C$7))</f>
        <v>22.117443396226417</v>
      </c>
      <c r="O158" s="282">
        <f t="shared" ref="O158:O170" si="43">SUM(N158*$O$7)</f>
        <v>27757.391462264153</v>
      </c>
    </row>
    <row r="159" spans="1:15" outlineLevel="1">
      <c r="A159" s="31" t="s">
        <v>75</v>
      </c>
      <c r="B159" s="31" t="s">
        <v>154</v>
      </c>
      <c r="C159" s="95">
        <v>12695.66</v>
      </c>
      <c r="D159" s="121">
        <v>4018.53</v>
      </c>
      <c r="E159" s="101">
        <v>8277.33</v>
      </c>
      <c r="F159" s="60"/>
      <c r="G159" s="282">
        <f>SUM(C159:E159)/SUM(SUM!$C$4:$C$7)</f>
        <v>23.576905660377356</v>
      </c>
      <c r="I159" s="288">
        <f t="shared" si="42"/>
        <v>15089.219622641507</v>
      </c>
      <c r="J159" s="288">
        <f t="shared" si="42"/>
        <v>5069.0347169811312</v>
      </c>
      <c r="K159" s="288">
        <f t="shared" si="42"/>
        <v>9430.7622641509424</v>
      </c>
      <c r="M159" s="107">
        <v>6664.98</v>
      </c>
      <c r="N159" s="282">
        <f>SUM(M159/SUM(SUM!$C$4:$C$7))</f>
        <v>6.2877169811320748</v>
      </c>
      <c r="O159" s="282">
        <f t="shared" si="43"/>
        <v>7891.0848113207539</v>
      </c>
    </row>
    <row r="160" spans="1:15" outlineLevel="1">
      <c r="A160" s="31" t="s">
        <v>442</v>
      </c>
      <c r="B160" s="31" t="s">
        <v>97</v>
      </c>
      <c r="C160" s="95">
        <v>6532.56</v>
      </c>
      <c r="D160" s="121">
        <v>11060.6</v>
      </c>
      <c r="E160" s="101">
        <v>7203.98</v>
      </c>
      <c r="F160" s="60"/>
      <c r="G160" s="282">
        <f>SUM(C160:E160)/SUM(SUM!$C$4:$C$7)</f>
        <v>23.393528301886793</v>
      </c>
      <c r="I160" s="288">
        <f t="shared" si="42"/>
        <v>14971.858113207547</v>
      </c>
      <c r="J160" s="288">
        <f t="shared" si="42"/>
        <v>5029.6085849056608</v>
      </c>
      <c r="K160" s="288">
        <f t="shared" si="42"/>
        <v>9357.411320754718</v>
      </c>
      <c r="M160" s="107">
        <v>2975.63</v>
      </c>
      <c r="N160" s="282">
        <f>SUM(M160/SUM(SUM!$C$4:$C$7))</f>
        <v>2.8071981132075474</v>
      </c>
      <c r="O160" s="282">
        <f t="shared" si="43"/>
        <v>3523.0336320754718</v>
      </c>
    </row>
    <row r="161" spans="1:15" outlineLevel="1">
      <c r="A161" s="31" t="s">
        <v>443</v>
      </c>
      <c r="B161" s="31" t="s">
        <v>421</v>
      </c>
      <c r="C161" s="95">
        <v>1732.37</v>
      </c>
      <c r="D161" s="121">
        <v>2527.5500000000002</v>
      </c>
      <c r="E161" s="101">
        <v>3615.99</v>
      </c>
      <c r="F161" s="60"/>
      <c r="G161" s="282">
        <f>SUM(C161:E161)/SUM(SUM!$C$4:$C$7)</f>
        <v>7.4301037735849054</v>
      </c>
      <c r="I161" s="288">
        <f t="shared" si="42"/>
        <v>4755.2664150943392</v>
      </c>
      <c r="J161" s="288">
        <f t="shared" si="42"/>
        <v>1597.4723113207547</v>
      </c>
      <c r="K161" s="288">
        <f t="shared" si="42"/>
        <v>2972.0415094339623</v>
      </c>
      <c r="M161" s="107">
        <v>4544.76</v>
      </c>
      <c r="N161" s="282">
        <f>SUM(M161/SUM(SUM!$C$4:$C$7))</f>
        <v>4.2875094339622644</v>
      </c>
      <c r="O161" s="282">
        <f t="shared" si="43"/>
        <v>5380.8243396226417</v>
      </c>
    </row>
    <row r="162" spans="1:15" outlineLevel="1">
      <c r="A162" s="31" t="s">
        <v>444</v>
      </c>
      <c r="B162" s="31" t="s">
        <v>423</v>
      </c>
      <c r="C162" s="95">
        <v>98365.34</v>
      </c>
      <c r="D162" s="121">
        <v>27834.45</v>
      </c>
      <c r="E162" s="101">
        <v>67806.289999999994</v>
      </c>
      <c r="F162" s="60"/>
      <c r="G162" s="282">
        <f>SUM(C162:E162)/SUM(SUM!$C$4:$C$7)</f>
        <v>183.02460377358489</v>
      </c>
      <c r="I162" s="288">
        <f t="shared" si="42"/>
        <v>117135.74641509433</v>
      </c>
      <c r="J162" s="288">
        <f t="shared" si="42"/>
        <v>39350.289811320748</v>
      </c>
      <c r="K162" s="288">
        <f t="shared" si="42"/>
        <v>73209.841509433958</v>
      </c>
      <c r="M162" s="107">
        <v>36719.980000000003</v>
      </c>
      <c r="N162" s="282">
        <f>SUM(M162/SUM(SUM!$C$4:$C$7))</f>
        <v>34.641490566037739</v>
      </c>
      <c r="O162" s="282">
        <f t="shared" si="43"/>
        <v>43475.070660377365</v>
      </c>
    </row>
    <row r="163" spans="1:15" outlineLevel="1">
      <c r="A163" s="31" t="s">
        <v>445</v>
      </c>
      <c r="B163" s="31" t="s">
        <v>416</v>
      </c>
      <c r="C163" s="95">
        <v>75</v>
      </c>
      <c r="D163" s="121">
        <v>0</v>
      </c>
      <c r="E163" s="101">
        <v>29.16</v>
      </c>
      <c r="F163" s="60"/>
      <c r="G163" s="282">
        <f>SUM(C163:E163)/SUM(SUM!$C$4:$C$7)</f>
        <v>9.8264150943396217E-2</v>
      </c>
      <c r="I163" s="288">
        <f t="shared" si="42"/>
        <v>62.889056603773582</v>
      </c>
      <c r="J163" s="288">
        <f t="shared" si="42"/>
        <v>21.126792452830188</v>
      </c>
      <c r="K163" s="288">
        <f t="shared" si="42"/>
        <v>39.305660377358485</v>
      </c>
      <c r="M163" s="107">
        <v>1997.04</v>
      </c>
      <c r="N163" s="282">
        <f>SUM(M163/SUM(SUM!$C$4:$C$7))</f>
        <v>1.8839999999999999</v>
      </c>
      <c r="O163" s="282">
        <f t="shared" si="43"/>
        <v>2364.42</v>
      </c>
    </row>
    <row r="164" spans="1:15" outlineLevel="1">
      <c r="A164" s="31" t="s">
        <v>76</v>
      </c>
      <c r="B164" s="31" t="s">
        <v>155</v>
      </c>
      <c r="C164" s="95">
        <v>127216.79</v>
      </c>
      <c r="D164" s="121">
        <v>34833.86</v>
      </c>
      <c r="E164" s="101">
        <v>129352.09</v>
      </c>
      <c r="F164" s="60"/>
      <c r="G164" s="282">
        <f>SUM(C164:E164)/SUM(SUM!$C$4:$C$7)</f>
        <v>274.90824528301886</v>
      </c>
      <c r="I164" s="288">
        <f t="shared" si="42"/>
        <v>175941.27698113208</v>
      </c>
      <c r="J164" s="288">
        <f t="shared" si="42"/>
        <v>59105.272735849052</v>
      </c>
      <c r="K164" s="288">
        <f t="shared" si="42"/>
        <v>109963.29811320754</v>
      </c>
      <c r="M164" s="107">
        <v>19875.060000000001</v>
      </c>
      <c r="N164" s="282">
        <f>SUM(M164/SUM(SUM!$C$4:$C$7))</f>
        <v>18.750056603773587</v>
      </c>
      <c r="O164" s="282">
        <f t="shared" si="43"/>
        <v>23531.321037735852</v>
      </c>
    </row>
    <row r="165" spans="1:15" outlineLevel="1">
      <c r="A165" s="31" t="s">
        <v>79</v>
      </c>
      <c r="B165" s="31" t="s">
        <v>156</v>
      </c>
      <c r="C165" s="95"/>
      <c r="D165" s="121"/>
      <c r="E165" s="101">
        <v>0</v>
      </c>
      <c r="F165" s="60"/>
      <c r="G165" s="282">
        <f>SUM(C165:E165)/SUM(SUM!$C$4:$C$7)</f>
        <v>0</v>
      </c>
      <c r="I165" s="288">
        <f t="shared" si="42"/>
        <v>0</v>
      </c>
      <c r="J165" s="288">
        <f t="shared" si="42"/>
        <v>0</v>
      </c>
      <c r="K165" s="288">
        <f t="shared" si="42"/>
        <v>0</v>
      </c>
      <c r="M165" s="107"/>
      <c r="N165" s="282">
        <f>SUM(M165/SUM(SUM!$C$4:$C$7))</f>
        <v>0</v>
      </c>
      <c r="O165" s="282">
        <f t="shared" si="43"/>
        <v>0</v>
      </c>
    </row>
    <row r="166" spans="1:15" outlineLevel="1">
      <c r="A166" s="31" t="s">
        <v>78</v>
      </c>
      <c r="B166" s="31" t="s">
        <v>157</v>
      </c>
      <c r="C166" s="95"/>
      <c r="D166" s="121"/>
      <c r="E166" s="101">
        <v>0</v>
      </c>
      <c r="F166" s="60"/>
      <c r="G166" s="282">
        <f>SUM(C166:E166)/SUM(SUM!$C$4:$C$7)</f>
        <v>0</v>
      </c>
      <c r="I166" s="288">
        <f t="shared" si="42"/>
        <v>0</v>
      </c>
      <c r="J166" s="288">
        <f t="shared" si="42"/>
        <v>0</v>
      </c>
      <c r="K166" s="288">
        <f t="shared" si="42"/>
        <v>0</v>
      </c>
      <c r="M166" s="107"/>
      <c r="N166" s="282">
        <f>SUM(M166/SUM(SUM!$C$4:$C$7))</f>
        <v>0</v>
      </c>
      <c r="O166" s="282">
        <f t="shared" si="43"/>
        <v>0</v>
      </c>
    </row>
    <row r="167" spans="1:15" outlineLevel="1">
      <c r="A167" s="31" t="s">
        <v>77</v>
      </c>
      <c r="B167" s="31" t="s">
        <v>158</v>
      </c>
      <c r="C167" s="95">
        <v>50000</v>
      </c>
      <c r="D167" s="121">
        <v>18000</v>
      </c>
      <c r="E167" s="101">
        <v>92000</v>
      </c>
      <c r="F167" s="60"/>
      <c r="G167" s="282">
        <f>SUM(C167:E167)/SUM(SUM!$C$4:$C$7)</f>
        <v>150.9433962264151</v>
      </c>
      <c r="I167" s="288">
        <f t="shared" si="42"/>
        <v>96603.773584905663</v>
      </c>
      <c r="J167" s="288">
        <f t="shared" si="42"/>
        <v>32452.830188679247</v>
      </c>
      <c r="K167" s="288">
        <f t="shared" si="42"/>
        <v>60377.358490566039</v>
      </c>
      <c r="M167" s="107"/>
      <c r="N167" s="282">
        <f>SUM(M167/SUM(SUM!$C$4:$C$7))</f>
        <v>0</v>
      </c>
      <c r="O167" s="282">
        <f t="shared" si="43"/>
        <v>0</v>
      </c>
    </row>
    <row r="168" spans="1:15" outlineLevel="1">
      <c r="A168" s="31" t="s">
        <v>80</v>
      </c>
      <c r="B168" s="31" t="s">
        <v>159</v>
      </c>
      <c r="C168" s="95">
        <v>28827.16</v>
      </c>
      <c r="D168" s="121">
        <v>10136.879999999999</v>
      </c>
      <c r="E168" s="101">
        <v>0</v>
      </c>
      <c r="F168" s="60"/>
      <c r="G168" s="282">
        <f>SUM(C168:E168)/SUM(SUM!$C$4:$C$7)</f>
        <v>36.758528301886791</v>
      </c>
      <c r="I168" s="288">
        <f t="shared" si="42"/>
        <v>23525.458113207547</v>
      </c>
      <c r="J168" s="288">
        <f t="shared" si="42"/>
        <v>7903.0835849056602</v>
      </c>
      <c r="K168" s="288">
        <f t="shared" si="42"/>
        <v>14703.411320754716</v>
      </c>
      <c r="M168" s="107"/>
      <c r="N168" s="282">
        <f>SUM(M168/SUM(SUM!$C$4:$C$7))</f>
        <v>0</v>
      </c>
      <c r="O168" s="282">
        <f t="shared" si="43"/>
        <v>0</v>
      </c>
    </row>
    <row r="169" spans="1:15" outlineLevel="1">
      <c r="A169" s="31" t="s">
        <v>81</v>
      </c>
      <c r="B169" s="31" t="s">
        <v>160</v>
      </c>
      <c r="C169" s="95"/>
      <c r="D169" s="121"/>
      <c r="E169" s="101">
        <v>0</v>
      </c>
      <c r="F169" s="60"/>
      <c r="G169" s="282">
        <f>SUM(C169:E169)/SUM(SUM!$C$4:$C$7)</f>
        <v>0</v>
      </c>
      <c r="I169" s="288">
        <f t="shared" si="42"/>
        <v>0</v>
      </c>
      <c r="J169" s="288">
        <f t="shared" si="42"/>
        <v>0</v>
      </c>
      <c r="K169" s="288">
        <f t="shared" si="42"/>
        <v>0</v>
      </c>
      <c r="M169" s="107"/>
      <c r="N169" s="282">
        <f>SUM(M169/SUM(SUM!$C$4:$C$7))</f>
        <v>0</v>
      </c>
      <c r="O169" s="282">
        <f t="shared" si="43"/>
        <v>0</v>
      </c>
    </row>
    <row r="170" spans="1:15" outlineLevel="1">
      <c r="A170" s="31" t="s">
        <v>161</v>
      </c>
      <c r="B170" s="31" t="s">
        <v>162</v>
      </c>
      <c r="C170" s="96">
        <v>2856.09</v>
      </c>
      <c r="D170" s="122"/>
      <c r="E170" s="102">
        <v>0</v>
      </c>
      <c r="F170" s="59"/>
      <c r="G170" s="283">
        <f>SUM(C170:E170)/SUM(SUM!$C$4:$C$7)</f>
        <v>2.6944245283018868</v>
      </c>
      <c r="I170" s="289">
        <f t="shared" si="42"/>
        <v>1724.4316981132076</v>
      </c>
      <c r="J170" s="289">
        <f t="shared" si="42"/>
        <v>579.30127358490563</v>
      </c>
      <c r="K170" s="289">
        <f t="shared" si="42"/>
        <v>1077.7698113207548</v>
      </c>
      <c r="M170" s="108"/>
      <c r="N170" s="283">
        <f>SUM(M170/SUM(SUM!$C$4:$C$7))</f>
        <v>0</v>
      </c>
      <c r="O170" s="283">
        <f t="shared" si="43"/>
        <v>0</v>
      </c>
    </row>
    <row r="171" spans="1:15">
      <c r="B171" s="31" t="s">
        <v>163</v>
      </c>
      <c r="C171" s="94">
        <f>SUM(C158:C170)</f>
        <v>532027.56999999995</v>
      </c>
      <c r="D171" s="120">
        <f>SUM(D158:D170)</f>
        <v>179713.41</v>
      </c>
      <c r="E171" s="100">
        <f>SUM(E158:E170)</f>
        <v>544561.42999999993</v>
      </c>
      <c r="F171" s="50"/>
      <c r="G171" s="278">
        <f>SUM(G158:G170)</f>
        <v>1185.1909528301887</v>
      </c>
      <c r="I171" s="278">
        <f t="shared" ref="I171:K171" si="44">SUM(I158:I170)</f>
        <v>758522.20981132076</v>
      </c>
      <c r="J171" s="278">
        <f t="shared" si="44"/>
        <v>254816.05485849056</v>
      </c>
      <c r="K171" s="278">
        <f t="shared" si="44"/>
        <v>474076.38113207545</v>
      </c>
      <c r="M171" s="106">
        <f>SUM(M158:M170)</f>
        <v>96221.939999999988</v>
      </c>
      <c r="N171" s="278">
        <f>SUM(N158:N170)</f>
        <v>90.775415094339621</v>
      </c>
      <c r="O171" s="278">
        <f>SUM(O158:O170)</f>
        <v>113923.14594339623</v>
      </c>
    </row>
    <row r="172" spans="1:15">
      <c r="C172" s="94"/>
      <c r="D172" s="120"/>
      <c r="E172" s="100"/>
      <c r="F172" s="50"/>
      <c r="G172" s="281"/>
      <c r="M172" s="106"/>
      <c r="N172" s="281"/>
    </row>
    <row r="173" spans="1:15" outlineLevel="1">
      <c r="A173" s="31" t="s">
        <v>164</v>
      </c>
      <c r="C173" s="94"/>
      <c r="D173" s="120"/>
      <c r="E173" s="100"/>
      <c r="F173" s="50"/>
      <c r="G173" s="281"/>
      <c r="M173" s="106"/>
      <c r="N173" s="281"/>
    </row>
    <row r="174" spans="1:15" outlineLevel="1">
      <c r="A174" s="31" t="s">
        <v>165</v>
      </c>
      <c r="C174" s="94"/>
      <c r="D174" s="120"/>
      <c r="E174" s="100"/>
      <c r="F174" s="50"/>
      <c r="G174" s="281"/>
      <c r="M174" s="106"/>
      <c r="N174" s="281"/>
    </row>
    <row r="175" spans="1:15" outlineLevel="1">
      <c r="A175" s="31" t="s">
        <v>86</v>
      </c>
      <c r="B175" s="31" t="s">
        <v>85</v>
      </c>
      <c r="C175" s="95">
        <v>850399.49</v>
      </c>
      <c r="D175" s="121">
        <v>200368.33000000002</v>
      </c>
      <c r="E175" s="101">
        <v>475135.8</v>
      </c>
      <c r="F175" s="60"/>
      <c r="G175" s="282">
        <f>SUM(C175:E175)/SUM(SUM!$C$4:$C$7)</f>
        <v>1439.5317169811321</v>
      </c>
      <c r="I175" s="288">
        <f t="shared" ref="I175:K185" si="45">SUM(I$7*$G175)</f>
        <v>921300.2988679246</v>
      </c>
      <c r="J175" s="288">
        <f t="shared" si="45"/>
        <v>309499.31915094343</v>
      </c>
      <c r="K175" s="288">
        <f t="shared" si="45"/>
        <v>575812.68679245282</v>
      </c>
      <c r="M175" s="107">
        <v>47846.25</v>
      </c>
      <c r="N175" s="282">
        <f>SUM(M175/SUM(SUM!$C$4:$C$7))</f>
        <v>45.137971698113205</v>
      </c>
      <c r="O175" s="282">
        <f t="shared" ref="O175:O185" si="46">SUM(N175*$O$7)</f>
        <v>56648.154481132071</v>
      </c>
    </row>
    <row r="176" spans="1:15" outlineLevel="1">
      <c r="A176" s="31" t="s">
        <v>91</v>
      </c>
      <c r="B176" s="31" t="s">
        <v>92</v>
      </c>
      <c r="C176" s="95">
        <v>16249.88</v>
      </c>
      <c r="D176" s="121">
        <v>34879.1</v>
      </c>
      <c r="E176" s="101">
        <v>847.46</v>
      </c>
      <c r="F176" s="60"/>
      <c r="G176" s="282">
        <f>SUM(C176:E176)/SUM(SUM!$C$4:$C$7)</f>
        <v>49.034377358490559</v>
      </c>
      <c r="I176" s="288">
        <f t="shared" si="45"/>
        <v>31382.001509433958</v>
      </c>
      <c r="J176" s="288">
        <f t="shared" si="45"/>
        <v>10542.391132075471</v>
      </c>
      <c r="K176" s="288">
        <f t="shared" si="45"/>
        <v>19613.750943396222</v>
      </c>
      <c r="M176" s="107">
        <f>27367.5+22145.09</f>
        <v>49512.59</v>
      </c>
      <c r="N176" s="282">
        <f>SUM(M176/SUM(SUM!$C$4:$C$7))</f>
        <v>46.709990566037732</v>
      </c>
      <c r="O176" s="282">
        <f t="shared" si="46"/>
        <v>58621.038160377357</v>
      </c>
    </row>
    <row r="177" spans="1:15" outlineLevel="1">
      <c r="A177" s="31" t="s">
        <v>93</v>
      </c>
      <c r="B177" s="31" t="s">
        <v>94</v>
      </c>
      <c r="C177" s="95"/>
      <c r="D177" s="121"/>
      <c r="E177" s="101"/>
      <c r="F177" s="60"/>
      <c r="G177" s="282">
        <f>SUM(C177:E177)/SUM(SUM!$C$4:$C$7)</f>
        <v>0</v>
      </c>
      <c r="I177" s="288">
        <f t="shared" si="45"/>
        <v>0</v>
      </c>
      <c r="J177" s="288">
        <f t="shared" si="45"/>
        <v>0</v>
      </c>
      <c r="K177" s="288">
        <f t="shared" si="45"/>
        <v>0</v>
      </c>
      <c r="M177" s="107"/>
      <c r="N177" s="282">
        <f>SUM(M177/SUM(SUM!$C$4:$C$7))</f>
        <v>0</v>
      </c>
      <c r="O177" s="282">
        <f t="shared" si="46"/>
        <v>0</v>
      </c>
    </row>
    <row r="178" spans="1:15" outlineLevel="1">
      <c r="A178" s="31" t="s">
        <v>95</v>
      </c>
      <c r="B178" s="31" t="s">
        <v>405</v>
      </c>
      <c r="C178" s="95"/>
      <c r="D178" s="121"/>
      <c r="E178" s="101"/>
      <c r="F178" s="60"/>
      <c r="G178" s="282">
        <f>SUM(C178:E178)/SUM(SUM!$C$4:$C$7)</f>
        <v>0</v>
      </c>
      <c r="I178" s="288">
        <f t="shared" si="45"/>
        <v>0</v>
      </c>
      <c r="J178" s="288">
        <f t="shared" si="45"/>
        <v>0</v>
      </c>
      <c r="K178" s="288">
        <f t="shared" si="45"/>
        <v>0</v>
      </c>
      <c r="M178" s="107"/>
      <c r="N178" s="282">
        <f>SUM(M178/SUM(SUM!$C$4:$C$7))</f>
        <v>0</v>
      </c>
      <c r="O178" s="282">
        <f t="shared" si="46"/>
        <v>0</v>
      </c>
    </row>
    <row r="179" spans="1:15" outlineLevel="1">
      <c r="A179" s="31" t="s">
        <v>96</v>
      </c>
      <c r="B179" s="31" t="s">
        <v>404</v>
      </c>
      <c r="C179" s="95"/>
      <c r="D179" s="121"/>
      <c r="E179" s="101"/>
      <c r="F179" s="60"/>
      <c r="G179" s="282">
        <f>SUM(C179:E179)/SUM(SUM!$C$4:$C$7)</f>
        <v>0</v>
      </c>
      <c r="I179" s="288">
        <f t="shared" si="45"/>
        <v>0</v>
      </c>
      <c r="J179" s="288">
        <f t="shared" si="45"/>
        <v>0</v>
      </c>
      <c r="K179" s="288">
        <f t="shared" si="45"/>
        <v>0</v>
      </c>
      <c r="M179" s="107"/>
      <c r="N179" s="282">
        <f>SUM(M179/SUM(SUM!$C$4:$C$7))</f>
        <v>0</v>
      </c>
      <c r="O179" s="282">
        <f t="shared" si="46"/>
        <v>0</v>
      </c>
    </row>
    <row r="180" spans="1:15" outlineLevel="1">
      <c r="A180" s="31" t="s">
        <v>98</v>
      </c>
      <c r="B180" s="31" t="s">
        <v>99</v>
      </c>
      <c r="C180" s="95"/>
      <c r="D180" s="121"/>
      <c r="E180" s="101"/>
      <c r="F180" s="60"/>
      <c r="G180" s="282">
        <f>SUM(C180:E180)/SUM(SUM!$C$4:$C$7)</f>
        <v>0</v>
      </c>
      <c r="I180" s="288">
        <f t="shared" si="45"/>
        <v>0</v>
      </c>
      <c r="J180" s="288">
        <f t="shared" si="45"/>
        <v>0</v>
      </c>
      <c r="K180" s="288">
        <f t="shared" si="45"/>
        <v>0</v>
      </c>
      <c r="M180" s="107"/>
      <c r="N180" s="282">
        <f>SUM(M180/SUM(SUM!$C$4:$C$7))</f>
        <v>0</v>
      </c>
      <c r="O180" s="282">
        <f t="shared" si="46"/>
        <v>0</v>
      </c>
    </row>
    <row r="181" spans="1:15" outlineLevel="1">
      <c r="A181" s="31" t="s">
        <v>100</v>
      </c>
      <c r="B181" s="31" t="s">
        <v>284</v>
      </c>
      <c r="C181" s="95">
        <v>11226</v>
      </c>
      <c r="D181" s="121">
        <v>3409.5</v>
      </c>
      <c r="E181" s="101">
        <v>4914</v>
      </c>
      <c r="F181" s="60"/>
      <c r="G181" s="282">
        <f>SUM(C181:E181)/SUM(SUM!$C$4:$C$7)</f>
        <v>18.442924528301887</v>
      </c>
      <c r="I181" s="288">
        <f t="shared" si="45"/>
        <v>11803.471698113208</v>
      </c>
      <c r="J181" s="288">
        <f t="shared" si="45"/>
        <v>3965.2287735849059</v>
      </c>
      <c r="K181" s="288">
        <f t="shared" si="45"/>
        <v>7377.1698113207549</v>
      </c>
      <c r="M181" s="107"/>
      <c r="N181" s="282">
        <f>SUM(M181/SUM(SUM!$C$4:$C$7))</f>
        <v>0</v>
      </c>
      <c r="O181" s="282">
        <f t="shared" si="46"/>
        <v>0</v>
      </c>
    </row>
    <row r="182" spans="1:15" outlineLevel="1">
      <c r="A182" s="31" t="s">
        <v>101</v>
      </c>
      <c r="B182" s="31" t="s">
        <v>102</v>
      </c>
      <c r="C182" s="95"/>
      <c r="D182" s="121"/>
      <c r="E182" s="101"/>
      <c r="F182" s="60"/>
      <c r="G182" s="282">
        <f>SUM(C182:E182)/SUM(SUM!$C$4:$C$7)</f>
        <v>0</v>
      </c>
      <c r="I182" s="288">
        <f t="shared" si="45"/>
        <v>0</v>
      </c>
      <c r="J182" s="288">
        <f t="shared" si="45"/>
        <v>0</v>
      </c>
      <c r="K182" s="288">
        <f t="shared" si="45"/>
        <v>0</v>
      </c>
      <c r="M182" s="107"/>
      <c r="N182" s="282">
        <f>SUM(M182/SUM(SUM!$C$4:$C$7))</f>
        <v>0</v>
      </c>
      <c r="O182" s="282">
        <f t="shared" si="46"/>
        <v>0</v>
      </c>
    </row>
    <row r="183" spans="1:15" outlineLevel="1">
      <c r="A183" s="31" t="s">
        <v>105</v>
      </c>
      <c r="B183" s="31" t="s">
        <v>167</v>
      </c>
      <c r="C183" s="95">
        <v>15</v>
      </c>
      <c r="D183" s="121"/>
      <c r="E183" s="101"/>
      <c r="F183" s="60"/>
      <c r="G183" s="282">
        <f>SUM(C183:E183)/SUM(SUM!$C$4:$C$7)</f>
        <v>1.4150943396226415E-2</v>
      </c>
      <c r="I183" s="288">
        <f t="shared" si="45"/>
        <v>9.0566037735849054</v>
      </c>
      <c r="J183" s="288">
        <f t="shared" si="45"/>
        <v>3.0424528301886795</v>
      </c>
      <c r="K183" s="288">
        <f t="shared" si="45"/>
        <v>5.6603773584905666</v>
      </c>
      <c r="M183" s="107"/>
      <c r="N183" s="282">
        <f>SUM(M183/SUM(SUM!$C$4:$C$7))</f>
        <v>0</v>
      </c>
      <c r="O183" s="282">
        <f t="shared" si="46"/>
        <v>0</v>
      </c>
    </row>
    <row r="184" spans="1:15" outlineLevel="1">
      <c r="A184" s="31" t="s">
        <v>106</v>
      </c>
      <c r="B184" s="31" t="s">
        <v>107</v>
      </c>
      <c r="C184" s="95">
        <v>3051.77</v>
      </c>
      <c r="D184" s="121">
        <v>451.13</v>
      </c>
      <c r="E184" s="101">
        <v>1957.43</v>
      </c>
      <c r="F184" s="60"/>
      <c r="G184" s="282">
        <f>SUM(C184:E184)/SUM(SUM!$C$4:$C$7)</f>
        <v>5.151254716981132</v>
      </c>
      <c r="I184" s="288">
        <f t="shared" si="45"/>
        <v>3296.8030188679245</v>
      </c>
      <c r="J184" s="288">
        <f t="shared" si="45"/>
        <v>1107.5197641509433</v>
      </c>
      <c r="K184" s="288">
        <f t="shared" si="45"/>
        <v>2060.5018867924528</v>
      </c>
      <c r="M184" s="107">
        <v>9456.1200000000008</v>
      </c>
      <c r="N184" s="282">
        <f>SUM(M184/SUM(SUM!$C$4:$C$7))</f>
        <v>8.9208679245283022</v>
      </c>
      <c r="O184" s="282">
        <f t="shared" si="46"/>
        <v>11195.68924528302</v>
      </c>
    </row>
    <row r="185" spans="1:15" outlineLevel="1">
      <c r="A185" s="31" t="s">
        <v>428</v>
      </c>
      <c r="B185" s="31" t="s">
        <v>429</v>
      </c>
      <c r="C185" s="96">
        <v>300</v>
      </c>
      <c r="D185" s="122">
        <v>169.29</v>
      </c>
      <c r="E185" s="102"/>
      <c r="F185" s="59"/>
      <c r="G185" s="283">
        <f>SUM(C185:E185)/SUM(SUM!$C$4:$C$7)</f>
        <v>0.44272641509433958</v>
      </c>
      <c r="I185" s="289">
        <f t="shared" si="45"/>
        <v>283.34490566037732</v>
      </c>
      <c r="J185" s="289">
        <f t="shared" si="45"/>
        <v>95.186179245283014</v>
      </c>
      <c r="K185" s="289">
        <f t="shared" si="45"/>
        <v>177.09056603773584</v>
      </c>
      <c r="M185" s="108"/>
      <c r="N185" s="283">
        <f>SUM(M185/SUM(SUM!$C$4:$C$7))</f>
        <v>0</v>
      </c>
      <c r="O185" s="283">
        <f t="shared" si="46"/>
        <v>0</v>
      </c>
    </row>
    <row r="186" spans="1:15">
      <c r="B186" s="31" t="s">
        <v>168</v>
      </c>
      <c r="C186" s="94">
        <f>SUM(C175:C185)</f>
        <v>881242.14</v>
      </c>
      <c r="D186" s="120">
        <f>SUM(D175:D185)</f>
        <v>239277.35000000003</v>
      </c>
      <c r="E186" s="100">
        <f>SUM(E175:E185)</f>
        <v>482854.69</v>
      </c>
      <c r="F186" s="50"/>
      <c r="G186" s="278">
        <f>SUM(G175:G185)</f>
        <v>1512.6171509433964</v>
      </c>
      <c r="I186" s="278">
        <f t="shared" ref="I186:K186" si="47">SUM(I175:I185)</f>
        <v>968074.97660377377</v>
      </c>
      <c r="J186" s="278">
        <f t="shared" si="47"/>
        <v>325212.6874528302</v>
      </c>
      <c r="K186" s="278">
        <f t="shared" si="47"/>
        <v>605046.86037735839</v>
      </c>
      <c r="M186" s="106">
        <f>SUM(M175:M185)</f>
        <v>106814.95999999999</v>
      </c>
      <c r="N186" s="278">
        <f>SUM(N175:N185)</f>
        <v>100.76883018867923</v>
      </c>
      <c r="O186" s="278">
        <f>SUM(O175:O185)</f>
        <v>126464.88188679246</v>
      </c>
    </row>
    <row r="187" spans="1:15">
      <c r="C187" s="94"/>
      <c r="D187" s="120"/>
      <c r="E187" s="100"/>
      <c r="F187" s="50"/>
      <c r="G187" s="281"/>
      <c r="M187" s="106"/>
      <c r="N187" s="281"/>
      <c r="O187" s="281"/>
    </row>
    <row r="188" spans="1:15">
      <c r="A188" s="35"/>
      <c r="B188" s="35" t="s">
        <v>169</v>
      </c>
      <c r="C188" s="94">
        <f>SUM(C122+C133+C141+C150+C155+C171+C186)</f>
        <v>2171685.9900000002</v>
      </c>
      <c r="D188" s="120">
        <f t="shared" ref="D188:E188" si="48">SUM(D122+D133+D141+D150+D155+D171+D186)</f>
        <v>604584.67999999993</v>
      </c>
      <c r="E188" s="100">
        <f t="shared" si="48"/>
        <v>1686047.5999999999</v>
      </c>
      <c r="F188" s="50"/>
      <c r="G188" s="280">
        <f>SUM(G122+G133+G141+G150+G155+G171+G186)</f>
        <v>4209.7342169811318</v>
      </c>
      <c r="I188" s="280">
        <f t="shared" ref="I188:K188" si="49">SUM(I122+I133+I141+I150+I155+I171+I186)</f>
        <v>2694229.8988679247</v>
      </c>
      <c r="J188" s="280">
        <f t="shared" si="49"/>
        <v>905092.8566509434</v>
      </c>
      <c r="K188" s="280">
        <f t="shared" si="49"/>
        <v>1683893.6867924528</v>
      </c>
      <c r="M188" s="106">
        <f>SUM(M122+M133+M141+M150+M155+M171+M186)</f>
        <v>580435.93999999994</v>
      </c>
      <c r="N188" s="280">
        <f>SUM(N122+N133+N141+N150+N155+N171+N186)</f>
        <v>547.58107547169811</v>
      </c>
      <c r="O188" s="280">
        <f>SUM(O122+O133+O141+O150+O155+O171+O186)</f>
        <v>687214.2497169812</v>
      </c>
    </row>
    <row r="189" spans="1:15">
      <c r="C189" s="94"/>
      <c r="D189" s="120"/>
      <c r="E189" s="100"/>
      <c r="F189" s="50"/>
      <c r="G189" s="281"/>
      <c r="I189" s="281"/>
      <c r="J189" s="281"/>
      <c r="K189" s="281"/>
      <c r="M189" s="106"/>
      <c r="N189" s="281"/>
      <c r="O189" s="281"/>
    </row>
    <row r="190" spans="1:15">
      <c r="B190" s="35" t="s">
        <v>435</v>
      </c>
      <c r="C190" s="94">
        <f>SUM(C104+C188)</f>
        <v>6236159.5599999996</v>
      </c>
      <c r="D190" s="120">
        <f t="shared" ref="D190:E190" si="50">SUM(D104+D188)</f>
        <v>1487790.63</v>
      </c>
      <c r="E190" s="100">
        <f t="shared" si="50"/>
        <v>3204861.8099999996</v>
      </c>
      <c r="F190" s="50"/>
      <c r="G190" s="280">
        <f>SUM(G104+G188)</f>
        <v>10310.199999999999</v>
      </c>
      <c r="I190" s="280">
        <f t="shared" ref="I190:K190" si="51">SUM(I104+I188)</f>
        <v>6598528</v>
      </c>
      <c r="J190" s="280">
        <f t="shared" si="51"/>
        <v>2216693</v>
      </c>
      <c r="K190" s="280">
        <f t="shared" si="51"/>
        <v>4124080</v>
      </c>
      <c r="M190" s="106">
        <f>SUM(M104+M188)</f>
        <v>1584867.9500000002</v>
      </c>
      <c r="N190" s="280">
        <f>SUM(N104+N188)</f>
        <v>1495.1584433962264</v>
      </c>
      <c r="O190" s="280">
        <f>SUM(O104+O188)</f>
        <v>1876423.8464622642</v>
      </c>
    </row>
    <row r="191" spans="1:15">
      <c r="C191" s="94"/>
      <c r="D191" s="120"/>
      <c r="E191" s="100"/>
      <c r="F191" s="50"/>
      <c r="G191" s="281"/>
      <c r="I191" s="281"/>
      <c r="J191" s="281"/>
      <c r="K191" s="281"/>
      <c r="M191" s="106"/>
      <c r="N191" s="281"/>
      <c r="O191" s="281"/>
    </row>
    <row r="192" spans="1:15">
      <c r="A192" s="35"/>
      <c r="B192" s="35" t="s">
        <v>170</v>
      </c>
      <c r="C192" s="94">
        <f>SUM(C68-C190)</f>
        <v>310035.64000000153</v>
      </c>
      <c r="D192" s="120">
        <f t="shared" ref="D192:E192" si="52">SUM(D68-D190)</f>
        <v>242762.32000000007</v>
      </c>
      <c r="E192" s="100">
        <f t="shared" si="52"/>
        <v>60747.570000000298</v>
      </c>
      <c r="F192" s="50"/>
      <c r="G192" s="280">
        <f>SUM(G68-G190)</f>
        <v>578.81653773584912</v>
      </c>
      <c r="I192" s="280">
        <f t="shared" ref="I192:K192" si="53">SUM(I68-I190)</f>
        <v>370442.58415094391</v>
      </c>
      <c r="J192" s="280">
        <f t="shared" si="53"/>
        <v>124445.55561320763</v>
      </c>
      <c r="K192" s="280">
        <f t="shared" si="53"/>
        <v>231526.61509433948</v>
      </c>
      <c r="M192" s="106">
        <f>+M68-M104-M188</f>
        <v>42482.380000000005</v>
      </c>
      <c r="N192" s="280">
        <f>SUM(N68-N190)</f>
        <v>40.077716981131971</v>
      </c>
      <c r="O192" s="280">
        <f>SUM(O68-O190)</f>
        <v>50297.534811320482</v>
      </c>
    </row>
    <row r="194" spans="1:2">
      <c r="A194" s="78"/>
    </row>
    <row r="195" spans="1:2">
      <c r="A195" s="78"/>
    </row>
    <row r="196" spans="1:2">
      <c r="B196" s="26"/>
    </row>
  </sheetData>
  <pageMargins left="0.7" right="0.7" top="0.75" bottom="0.75" header="0.3" footer="0.3"/>
  <pageSetup scale="93" fitToHeight="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196"/>
  <sheetViews>
    <sheetView workbookViewId="0">
      <selection activeCell="F36" sqref="F36"/>
    </sheetView>
  </sheetViews>
  <sheetFormatPr baseColWidth="10" defaultColWidth="8.7109375" defaultRowHeight="13" x14ac:dyDescent="0"/>
  <cols>
    <col min="1" max="1" width="15" style="31" customWidth="1"/>
    <col min="2" max="2" width="26.85546875" style="31" customWidth="1"/>
    <col min="3" max="12" width="11.42578125" style="1" customWidth="1"/>
    <col min="13" max="13" width="8.28515625" style="1" bestFit="1" customWidth="1"/>
    <col min="14" max="14" width="11.42578125" style="1" customWidth="1"/>
  </cols>
  <sheetData>
    <row r="2" spans="1:14">
      <c r="A2" s="30" t="s">
        <v>614</v>
      </c>
      <c r="B2" s="47">
        <v>8526</v>
      </c>
    </row>
    <row r="3" spans="1:14">
      <c r="B3" s="174"/>
    </row>
    <row r="4" spans="1:14" ht="15">
      <c r="A4" s="253" t="s">
        <v>641</v>
      </c>
      <c r="B4" s="32">
        <f>SUM(SUM!B5)</f>
        <v>0</v>
      </c>
    </row>
    <row r="5" spans="1:14">
      <c r="B5" s="32"/>
    </row>
    <row r="6" spans="1:14">
      <c r="B6" s="32"/>
    </row>
    <row r="7" spans="1:14">
      <c r="A7" s="28"/>
      <c r="B7" s="32"/>
      <c r="C7" s="46">
        <v>1.5</v>
      </c>
      <c r="D7" s="46">
        <v>1.5</v>
      </c>
      <c r="E7" s="46">
        <v>1.5</v>
      </c>
      <c r="F7" s="46">
        <v>1.5</v>
      </c>
      <c r="G7" s="46">
        <v>1</v>
      </c>
      <c r="H7" s="46">
        <v>0</v>
      </c>
      <c r="I7" s="46">
        <v>0</v>
      </c>
      <c r="J7" s="46">
        <v>1.5</v>
      </c>
      <c r="K7" s="46">
        <v>1.5</v>
      </c>
      <c r="L7" s="46">
        <v>1.5</v>
      </c>
      <c r="M7" s="46">
        <v>1.5</v>
      </c>
      <c r="N7" s="46">
        <v>1</v>
      </c>
    </row>
    <row r="8" spans="1:14">
      <c r="B8" s="175"/>
      <c r="C8" s="26" t="s">
        <v>619</v>
      </c>
      <c r="D8" s="26" t="s">
        <v>569</v>
      </c>
      <c r="E8" s="26" t="s">
        <v>379</v>
      </c>
      <c r="F8" s="26" t="s">
        <v>380</v>
      </c>
      <c r="G8" s="26" t="s">
        <v>381</v>
      </c>
      <c r="J8" s="26" t="s">
        <v>568</v>
      </c>
      <c r="K8" s="26" t="s">
        <v>370</v>
      </c>
      <c r="L8" s="26" t="s">
        <v>620</v>
      </c>
      <c r="M8" s="26" t="s">
        <v>382</v>
      </c>
      <c r="N8" s="26" t="s">
        <v>375</v>
      </c>
    </row>
    <row r="9" spans="1:14">
      <c r="C9" s="24"/>
      <c r="D9" s="24"/>
      <c r="E9" s="24" t="s">
        <v>564</v>
      </c>
      <c r="F9" s="24" t="s">
        <v>564</v>
      </c>
      <c r="G9" s="128"/>
      <c r="H9" s="128"/>
      <c r="I9" s="128"/>
      <c r="J9" s="128"/>
      <c r="K9" s="128"/>
      <c r="L9" s="128"/>
      <c r="M9" s="128"/>
      <c r="N9" s="128"/>
    </row>
    <row r="10" spans="1:14" ht="14" thickBot="1">
      <c r="A10" s="33"/>
      <c r="B10" s="33" t="s">
        <v>174</v>
      </c>
      <c r="C10" s="255" t="s">
        <v>349</v>
      </c>
      <c r="D10" s="255" t="s">
        <v>348</v>
      </c>
      <c r="E10" s="255" t="s">
        <v>346</v>
      </c>
      <c r="F10" s="255" t="s">
        <v>347</v>
      </c>
      <c r="G10" s="255" t="s">
        <v>589</v>
      </c>
      <c r="H10" s="255" t="s">
        <v>361</v>
      </c>
      <c r="I10" s="295" t="s">
        <v>609</v>
      </c>
      <c r="J10" s="255" t="s">
        <v>353</v>
      </c>
      <c r="K10" s="255" t="s">
        <v>400</v>
      </c>
      <c r="L10" s="255" t="s">
        <v>351</v>
      </c>
      <c r="M10" s="255" t="s">
        <v>352</v>
      </c>
      <c r="N10" s="255" t="s">
        <v>354</v>
      </c>
    </row>
    <row r="11" spans="1:14">
      <c r="A11" s="31" t="s">
        <v>268</v>
      </c>
      <c r="F11" s="128"/>
      <c r="G11" s="128"/>
      <c r="H11" s="128"/>
      <c r="I11" s="128"/>
      <c r="J11" s="128"/>
      <c r="N11" s="128"/>
    </row>
    <row r="12" spans="1:14">
      <c r="A12" s="31" t="s">
        <v>269</v>
      </c>
      <c r="G12" s="128"/>
      <c r="H12" s="128"/>
      <c r="I12" s="128"/>
      <c r="N12" s="128"/>
    </row>
    <row r="13" spans="1:14">
      <c r="A13" s="31" t="s">
        <v>171</v>
      </c>
      <c r="B13" s="31" t="s">
        <v>270</v>
      </c>
      <c r="C13" s="38"/>
      <c r="D13" s="38"/>
      <c r="E13" s="38"/>
      <c r="F13" s="38"/>
      <c r="G13" s="54"/>
      <c r="H13" s="54"/>
      <c r="I13" s="54"/>
      <c r="J13" s="38"/>
      <c r="K13" s="38"/>
      <c r="L13" s="38"/>
      <c r="M13" s="38"/>
      <c r="N13" s="54"/>
    </row>
    <row r="14" spans="1:14">
      <c r="A14" s="31" t="s">
        <v>172</v>
      </c>
      <c r="B14" s="31" t="s">
        <v>271</v>
      </c>
      <c r="C14" s="38"/>
      <c r="D14" s="38"/>
      <c r="E14" s="38"/>
      <c r="F14" s="38"/>
      <c r="G14" s="54"/>
      <c r="H14" s="54"/>
      <c r="I14" s="54"/>
      <c r="J14" s="38"/>
      <c r="K14" s="38"/>
      <c r="L14" s="38"/>
      <c r="M14" s="38"/>
      <c r="N14" s="54"/>
    </row>
    <row r="15" spans="1:14">
      <c r="A15" s="31" t="s">
        <v>173</v>
      </c>
      <c r="B15" s="31" t="s">
        <v>272</v>
      </c>
      <c r="C15" s="38"/>
      <c r="D15" s="38"/>
      <c r="E15" s="38"/>
      <c r="F15" s="38"/>
      <c r="G15" s="54"/>
      <c r="H15" s="54"/>
      <c r="I15" s="54"/>
      <c r="J15" s="38"/>
      <c r="K15" s="38"/>
      <c r="L15" s="38"/>
      <c r="M15" s="38"/>
      <c r="N15" s="54"/>
    </row>
    <row r="16" spans="1:14">
      <c r="A16" s="31" t="s">
        <v>193</v>
      </c>
      <c r="B16" s="31" t="s">
        <v>273</v>
      </c>
      <c r="C16" s="38"/>
      <c r="D16" s="38"/>
      <c r="E16" s="38"/>
      <c r="F16" s="38"/>
      <c r="G16" s="54"/>
      <c r="H16" s="54"/>
      <c r="I16" s="54"/>
      <c r="J16" s="38"/>
      <c r="K16" s="38"/>
      <c r="L16" s="38"/>
      <c r="M16" s="38"/>
      <c r="N16" s="54"/>
    </row>
    <row r="17" spans="1:14">
      <c r="A17" s="31" t="s">
        <v>194</v>
      </c>
      <c r="B17" s="31" t="s">
        <v>274</v>
      </c>
      <c r="C17" s="38"/>
      <c r="D17" s="38"/>
      <c r="E17" s="38"/>
      <c r="F17" s="38"/>
      <c r="G17" s="54"/>
      <c r="H17" s="54"/>
      <c r="I17" s="54"/>
      <c r="J17" s="38"/>
      <c r="K17" s="38"/>
      <c r="L17" s="38"/>
      <c r="M17" s="38"/>
      <c r="N17" s="54"/>
    </row>
    <row r="18" spans="1:14">
      <c r="A18" s="31" t="s">
        <v>195</v>
      </c>
      <c r="B18" s="31" t="s">
        <v>275</v>
      </c>
      <c r="C18" s="38"/>
      <c r="D18" s="38"/>
      <c r="E18" s="38"/>
      <c r="F18" s="38"/>
      <c r="G18" s="54"/>
      <c r="H18" s="54"/>
      <c r="I18" s="54"/>
      <c r="J18" s="38"/>
      <c r="K18" s="38"/>
      <c r="L18" s="38"/>
      <c r="M18" s="38"/>
      <c r="N18" s="54"/>
    </row>
    <row r="19" spans="1:14">
      <c r="A19" s="31" t="s">
        <v>196</v>
      </c>
      <c r="B19" s="31" t="s">
        <v>276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>
      <c r="A20" s="31" t="s">
        <v>197</v>
      </c>
      <c r="B20" s="31" t="s">
        <v>277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>
      <c r="A21" s="31" t="s">
        <v>198</v>
      </c>
      <c r="B21" s="31" t="s">
        <v>278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>
      <c r="A22" s="31" t="s">
        <v>199</v>
      </c>
      <c r="B22" s="31" t="s">
        <v>279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>
      <c r="A23" s="31" t="s">
        <v>200</v>
      </c>
      <c r="B23" s="31" t="s">
        <v>280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>
      <c r="A24" s="31" t="s">
        <v>201</v>
      </c>
      <c r="B24" s="31" t="s">
        <v>281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>
      <c r="A25" s="31" t="s">
        <v>202</v>
      </c>
      <c r="B25" s="31" t="s">
        <v>282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>
      <c r="A26" s="31" t="s">
        <v>203</v>
      </c>
      <c r="B26" s="31" t="s">
        <v>283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>
      <c r="A27" s="31" t="s">
        <v>204</v>
      </c>
      <c r="B27" s="31" t="s">
        <v>284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>
      <c r="A28" s="31" t="s">
        <v>205</v>
      </c>
      <c r="B28" s="31" t="s">
        <v>285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>
      <c r="A29" s="31" t="s">
        <v>206</v>
      </c>
      <c r="B29" s="31" t="s">
        <v>286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>
      <c r="A30" s="31" t="s">
        <v>208</v>
      </c>
      <c r="B30" s="31" t="s">
        <v>287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>
      <c r="A31" s="31" t="s">
        <v>207</v>
      </c>
      <c r="B31" s="31" t="s">
        <v>288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>
      <c r="A32" s="31" t="s">
        <v>209</v>
      </c>
      <c r="B32" s="31" t="s">
        <v>210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>
      <c r="A33" s="31" t="s">
        <v>213</v>
      </c>
      <c r="B33" s="31" t="s">
        <v>214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>
      <c r="A34" s="31" t="s">
        <v>212</v>
      </c>
      <c r="B34" s="31" t="s">
        <v>289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>
      <c r="A35" s="31" t="s">
        <v>211</v>
      </c>
      <c r="B35" s="31" t="s">
        <v>290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>
      <c r="A36" s="31" t="s">
        <v>215</v>
      </c>
      <c r="B36" s="31" t="s">
        <v>291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>
      <c r="A37" s="31" t="s">
        <v>216</v>
      </c>
      <c r="B37" s="31" t="s">
        <v>292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>
      <c r="B38" s="31" t="s">
        <v>293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</row>
    <row r="39" spans="1:14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>
      <c r="A40" s="31" t="s">
        <v>294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>
      <c r="A41" s="31" t="s">
        <v>217</v>
      </c>
      <c r="B41" s="31" t="s">
        <v>295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>
      <c r="A42" s="31" t="s">
        <v>218</v>
      </c>
      <c r="B42" s="31" t="s">
        <v>219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>
      <c r="A43" s="31" t="s">
        <v>220</v>
      </c>
      <c r="B43" s="31" t="s">
        <v>221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>
      <c r="A44" s="31" t="s">
        <v>222</v>
      </c>
      <c r="B44" s="31" t="s">
        <v>296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A45" s="31" t="s">
        <v>223</v>
      </c>
      <c r="B45" s="31" t="s">
        <v>224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>
      <c r="A46" s="31" t="s">
        <v>225</v>
      </c>
      <c r="B46" s="31" t="s">
        <v>226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>
      <c r="A47" s="31" t="s">
        <v>227</v>
      </c>
      <c r="B47" s="31" t="s">
        <v>297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>
      <c r="A48" s="31" t="s">
        <v>228</v>
      </c>
      <c r="B48" s="31" t="s">
        <v>298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>
      <c r="B49" s="31" t="s">
        <v>299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>
      <c r="A51" s="31" t="s">
        <v>300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>
      <c r="A52" s="31" t="s">
        <v>301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>
      <c r="A53" s="31" t="s">
        <v>229</v>
      </c>
      <c r="B53" s="31" t="s">
        <v>389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>
      <c r="A54" s="31" t="s">
        <v>230</v>
      </c>
      <c r="B54" s="31" t="s">
        <v>390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>
      <c r="A55" s="31" t="s">
        <v>231</v>
      </c>
      <c r="B55" s="31" t="s">
        <v>391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>
      <c r="A56" s="31" t="s">
        <v>232</v>
      </c>
      <c r="B56" s="31" t="s">
        <v>302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>
      <c r="A57" s="31" t="s">
        <v>233</v>
      </c>
      <c r="B57" s="31" t="s">
        <v>303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>
      <c r="A58" s="31" t="s">
        <v>0</v>
      </c>
      <c r="B58" s="31" t="s">
        <v>304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>
      <c r="A59" s="31" t="s">
        <v>1</v>
      </c>
      <c r="B59" s="31" t="s">
        <v>305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>
      <c r="A60" s="31" t="s">
        <v>3</v>
      </c>
      <c r="B60" s="31" t="s">
        <v>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>
      <c r="A61" s="31" t="s">
        <v>4</v>
      </c>
      <c r="B61" s="31" t="s">
        <v>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>
      <c r="A62" s="31" t="s">
        <v>6</v>
      </c>
      <c r="B62" s="31" t="s">
        <v>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>
      <c r="A63" s="31" t="s">
        <v>8</v>
      </c>
      <c r="B63" s="31" t="s">
        <v>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>
      <c r="A64" s="31" t="s">
        <v>11</v>
      </c>
      <c r="B64" s="31" t="s">
        <v>307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>
      <c r="A65" s="31" t="s">
        <v>10</v>
      </c>
      <c r="B65" s="31" t="s">
        <v>306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>
      <c r="B66" s="31" t="s">
        <v>308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</row>
    <row r="67" spans="1:14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>
      <c r="A68" s="35"/>
      <c r="B68" s="35" t="s">
        <v>309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</row>
    <row r="69" spans="1:14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>
      <c r="A70" s="31" t="s">
        <v>310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>
      <c r="A71" s="31" t="s">
        <v>311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>
      <c r="A72" s="31" t="s">
        <v>19</v>
      </c>
      <c r="B72" s="31" t="s">
        <v>320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>
      <c r="A73" s="31" t="s">
        <v>12</v>
      </c>
      <c r="B73" s="31" t="s">
        <v>312</v>
      </c>
      <c r="C73" s="47">
        <v>41957</v>
      </c>
      <c r="D73" s="47">
        <v>45659.797169903366</v>
      </c>
      <c r="E73" s="47">
        <v>43459.652273554668</v>
      </c>
      <c r="F73" s="47">
        <v>45659.797169903366</v>
      </c>
      <c r="G73" s="47">
        <v>48301.292099150945</v>
      </c>
      <c r="H73" s="47">
        <v>0</v>
      </c>
      <c r="I73" s="47">
        <v>0</v>
      </c>
      <c r="J73" s="47">
        <v>45659.797169903366</v>
      </c>
      <c r="K73" s="47">
        <v>41957</v>
      </c>
      <c r="L73" s="47">
        <v>40356.607499999998</v>
      </c>
      <c r="M73" s="47">
        <v>45659.797169903366</v>
      </c>
      <c r="N73" s="47">
        <v>42399.660754687487</v>
      </c>
    </row>
    <row r="74" spans="1:14">
      <c r="A74" s="31" t="s">
        <v>13</v>
      </c>
      <c r="B74" s="31" t="s">
        <v>313</v>
      </c>
      <c r="C74" s="38">
        <v>10920.986999999999</v>
      </c>
      <c r="D74" s="38">
        <v>10920.986999999999</v>
      </c>
      <c r="E74" s="38">
        <v>14214.825029570735</v>
      </c>
      <c r="F74" s="38">
        <v>14214.825029570735</v>
      </c>
      <c r="G74" s="38"/>
      <c r="H74" s="38"/>
      <c r="I74" s="38"/>
      <c r="J74" s="38">
        <v>11248.616609999999</v>
      </c>
      <c r="K74" s="38">
        <v>11248.616609999999</v>
      </c>
      <c r="L74" s="38">
        <v>10920.986999999999</v>
      </c>
      <c r="M74" s="38">
        <v>10920.986999999999</v>
      </c>
      <c r="N74" s="38"/>
    </row>
    <row r="75" spans="1:14">
      <c r="A75" s="31" t="s">
        <v>14</v>
      </c>
      <c r="B75" s="31" t="s">
        <v>314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>
      <c r="A76" s="31" t="s">
        <v>15</v>
      </c>
      <c r="B76" s="31" t="s">
        <v>315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>
      <c r="A77" s="31" t="s">
        <v>16</v>
      </c>
      <c r="B77" s="31" t="s">
        <v>316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>
      <c r="A78" s="31" t="s">
        <v>17</v>
      </c>
      <c r="B78" s="31" t="s">
        <v>317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>
      <c r="A79" s="31" t="s">
        <v>18</v>
      </c>
      <c r="B79" s="31" t="s">
        <v>319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>
      <c r="B80" s="31" t="s">
        <v>24</v>
      </c>
      <c r="C80" s="38">
        <v>52877.987000000001</v>
      </c>
      <c r="D80" s="38">
        <v>56580.784169903367</v>
      </c>
      <c r="E80" s="38">
        <v>57674.477303125401</v>
      </c>
      <c r="F80" s="38">
        <v>59874.622199474099</v>
      </c>
      <c r="G80" s="38">
        <v>48301.292099150945</v>
      </c>
      <c r="H80" s="38">
        <v>0</v>
      </c>
      <c r="I80" s="38">
        <v>0</v>
      </c>
      <c r="J80" s="38">
        <v>56908.413779903363</v>
      </c>
      <c r="K80" s="38">
        <v>53205.616609999997</v>
      </c>
      <c r="L80" s="38">
        <v>51277.594499999999</v>
      </c>
      <c r="M80" s="38">
        <v>56580.784169903367</v>
      </c>
      <c r="N80" s="38">
        <v>42399.660754687487</v>
      </c>
    </row>
    <row r="81" spans="1:14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>
      <c r="A83" s="36" t="s">
        <v>322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>
      <c r="A84" s="31" t="s">
        <v>20</v>
      </c>
      <c r="B84" s="31" t="s">
        <v>321</v>
      </c>
      <c r="C84" s="38">
        <v>280</v>
      </c>
      <c r="D84" s="38">
        <v>280</v>
      </c>
      <c r="E84" s="38">
        <v>280</v>
      </c>
      <c r="F84" s="38">
        <v>280</v>
      </c>
      <c r="G84" s="38">
        <v>1050</v>
      </c>
      <c r="H84" s="38"/>
      <c r="I84" s="38"/>
      <c r="J84" s="38">
        <v>1050</v>
      </c>
      <c r="K84" s="38">
        <v>1050</v>
      </c>
      <c r="L84" s="38">
        <v>1050</v>
      </c>
      <c r="M84" s="38">
        <v>1050</v>
      </c>
      <c r="N84" s="38">
        <v>1050</v>
      </c>
    </row>
    <row r="85" spans="1:14">
      <c r="A85" s="31" t="s">
        <v>21</v>
      </c>
      <c r="B85" s="31" t="s">
        <v>322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>
      <c r="A86" s="31" t="s">
        <v>406</v>
      </c>
      <c r="B86" s="31" t="s">
        <v>407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>
      <c r="A87" s="31" t="s">
        <v>22</v>
      </c>
      <c r="B87" s="31" t="s">
        <v>23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>
      <c r="B88" s="31" t="s">
        <v>323</v>
      </c>
      <c r="C88" s="38">
        <v>280</v>
      </c>
      <c r="D88" s="38">
        <v>280</v>
      </c>
      <c r="E88" s="38">
        <v>280</v>
      </c>
      <c r="F88" s="38">
        <v>280</v>
      </c>
      <c r="G88" s="38">
        <v>1050</v>
      </c>
      <c r="H88" s="38">
        <v>0</v>
      </c>
      <c r="I88" s="38">
        <v>0</v>
      </c>
      <c r="J88" s="38">
        <v>1050</v>
      </c>
      <c r="K88" s="38">
        <v>1050</v>
      </c>
      <c r="L88" s="38">
        <v>1050</v>
      </c>
      <c r="M88" s="38">
        <v>1050</v>
      </c>
      <c r="N88" s="38">
        <v>1050</v>
      </c>
    </row>
    <row r="89" spans="1:14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>
      <c r="B90" s="31" t="s">
        <v>324</v>
      </c>
      <c r="C90" s="38">
        <v>53157.987000000001</v>
      </c>
      <c r="D90" s="38">
        <v>56860.784169903367</v>
      </c>
      <c r="E90" s="38">
        <v>57954.477303125401</v>
      </c>
      <c r="F90" s="38">
        <v>60154.622199474099</v>
      </c>
      <c r="G90" s="38">
        <v>49351.292099150945</v>
      </c>
      <c r="H90" s="38">
        <v>0</v>
      </c>
      <c r="I90" s="38">
        <v>0</v>
      </c>
      <c r="J90" s="38">
        <v>57958.413779903363</v>
      </c>
      <c r="K90" s="38">
        <v>54255.616609999997</v>
      </c>
      <c r="L90" s="38">
        <v>52327.594499999999</v>
      </c>
      <c r="M90" s="38">
        <v>57630.784169903367</v>
      </c>
      <c r="N90" s="38">
        <v>43449.660754687487</v>
      </c>
    </row>
    <row r="91" spans="1:14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>
      <c r="A92" s="31" t="s">
        <v>325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>
      <c r="A93" s="31" t="s">
        <v>25</v>
      </c>
      <c r="B93" s="31" t="s">
        <v>33</v>
      </c>
      <c r="C93" s="38">
        <v>5278.3919999999998</v>
      </c>
      <c r="D93" s="38">
        <v>5278.3919999999998</v>
      </c>
      <c r="E93" s="38">
        <v>5278.3919999999998</v>
      </c>
      <c r="F93" s="38">
        <v>5278.3919999999998</v>
      </c>
      <c r="G93" s="38">
        <v>3518.9279999999999</v>
      </c>
      <c r="H93" s="38">
        <v>0</v>
      </c>
      <c r="I93" s="38">
        <v>0</v>
      </c>
      <c r="J93" s="38">
        <v>5278.3919999999998</v>
      </c>
      <c r="K93" s="38">
        <v>5278.3919999999998</v>
      </c>
      <c r="L93" s="38">
        <v>5278.3919999999998</v>
      </c>
      <c r="M93" s="38">
        <v>5278.3919999999998</v>
      </c>
      <c r="N93" s="38">
        <v>3518.9279999999999</v>
      </c>
    </row>
    <row r="94" spans="1:14">
      <c r="A94" s="31" t="s">
        <v>26</v>
      </c>
      <c r="B94" s="31" t="s">
        <v>34</v>
      </c>
      <c r="C94" s="38">
        <v>320.93279999999999</v>
      </c>
      <c r="D94" s="38">
        <v>320.93279999999999</v>
      </c>
      <c r="E94" s="38">
        <v>320.93279999999999</v>
      </c>
      <c r="F94" s="38">
        <v>320.93279999999999</v>
      </c>
      <c r="G94" s="38">
        <v>213.95519999999999</v>
      </c>
      <c r="H94" s="38">
        <v>0</v>
      </c>
      <c r="I94" s="38">
        <v>0</v>
      </c>
      <c r="J94" s="38">
        <v>320.93279999999999</v>
      </c>
      <c r="K94" s="38">
        <v>320.93279999999999</v>
      </c>
      <c r="L94" s="38">
        <v>320.93279999999999</v>
      </c>
      <c r="M94" s="38">
        <v>320.93279999999999</v>
      </c>
      <c r="N94" s="38">
        <v>213.95519999999999</v>
      </c>
    </row>
    <row r="95" spans="1:14">
      <c r="A95" s="31" t="s">
        <v>28</v>
      </c>
      <c r="B95" s="31" t="s">
        <v>27</v>
      </c>
      <c r="C95" s="38">
        <v>3278.4351940000001</v>
      </c>
      <c r="D95" s="38">
        <v>3508.0086185340087</v>
      </c>
      <c r="E95" s="38">
        <v>3575.817592793775</v>
      </c>
      <c r="F95" s="38">
        <v>3712.226576367394</v>
      </c>
      <c r="G95" s="38">
        <v>2994.6801101473584</v>
      </c>
      <c r="H95" s="38">
        <v>0</v>
      </c>
      <c r="I95" s="38">
        <v>0</v>
      </c>
      <c r="J95" s="38">
        <v>3528.3216543540084</v>
      </c>
      <c r="K95" s="38">
        <v>3298.7482298199998</v>
      </c>
      <c r="L95" s="38">
        <v>3179.2108589999998</v>
      </c>
      <c r="M95" s="38">
        <v>3508.0086185340087</v>
      </c>
      <c r="N95" s="38">
        <v>2628.7789667906241</v>
      </c>
    </row>
    <row r="96" spans="1:14">
      <c r="A96" s="31" t="s">
        <v>30</v>
      </c>
      <c r="B96" s="31" t="s">
        <v>29</v>
      </c>
      <c r="C96" s="38">
        <v>766.73081150000007</v>
      </c>
      <c r="D96" s="38">
        <v>820.42137046359892</v>
      </c>
      <c r="E96" s="38">
        <v>836.27992089531836</v>
      </c>
      <c r="F96" s="38">
        <v>868.18202189237445</v>
      </c>
      <c r="G96" s="38">
        <v>700.36873543768877</v>
      </c>
      <c r="H96" s="38">
        <v>0</v>
      </c>
      <c r="I96" s="38">
        <v>0</v>
      </c>
      <c r="J96" s="38">
        <v>825.1719998085988</v>
      </c>
      <c r="K96" s="38">
        <v>771.48144084499995</v>
      </c>
      <c r="L96" s="38">
        <v>743.52512024999999</v>
      </c>
      <c r="M96" s="38">
        <v>820.42137046359892</v>
      </c>
      <c r="N96" s="38">
        <v>614.79508094296864</v>
      </c>
    </row>
    <row r="97" spans="1:14">
      <c r="A97" s="31" t="s">
        <v>31</v>
      </c>
      <c r="B97" s="31" t="s">
        <v>32</v>
      </c>
      <c r="C97" s="38">
        <v>3172.67922</v>
      </c>
      <c r="D97" s="38">
        <v>3394.847050194202</v>
      </c>
      <c r="E97" s="38">
        <v>3460.468638187524</v>
      </c>
      <c r="F97" s="38">
        <v>3592.4773319684459</v>
      </c>
      <c r="G97" s="38">
        <v>2898.0775259490565</v>
      </c>
      <c r="H97" s="38">
        <v>0</v>
      </c>
      <c r="I97" s="38">
        <v>0</v>
      </c>
      <c r="J97" s="38">
        <v>3414.5048267942016</v>
      </c>
      <c r="K97" s="38">
        <v>3192.3369965999996</v>
      </c>
      <c r="L97" s="38">
        <v>3076.6556699999996</v>
      </c>
      <c r="M97" s="38">
        <v>3394.847050194202</v>
      </c>
      <c r="N97" s="38">
        <v>2543.9796452812493</v>
      </c>
    </row>
    <row r="98" spans="1:14">
      <c r="A98" s="31" t="s">
        <v>36</v>
      </c>
      <c r="B98" s="31" t="s">
        <v>35</v>
      </c>
      <c r="C98" s="38">
        <v>296.11672720000001</v>
      </c>
      <c r="D98" s="38">
        <v>316.85239135145883</v>
      </c>
      <c r="E98" s="38">
        <v>322.97707289750224</v>
      </c>
      <c r="F98" s="38">
        <v>335.29788431705498</v>
      </c>
      <c r="G98" s="38">
        <v>270.48723575524531</v>
      </c>
      <c r="H98" s="38">
        <v>0</v>
      </c>
      <c r="I98" s="38">
        <v>0</v>
      </c>
      <c r="J98" s="38">
        <v>318.68711716745884</v>
      </c>
      <c r="K98" s="38">
        <v>297.95145301599996</v>
      </c>
      <c r="L98" s="38">
        <v>287.15452920000001</v>
      </c>
      <c r="M98" s="38">
        <v>316.85239135145883</v>
      </c>
      <c r="N98" s="38">
        <v>237.43810022624993</v>
      </c>
    </row>
    <row r="99" spans="1:14">
      <c r="A99" s="31" t="s">
        <v>38</v>
      </c>
      <c r="B99" s="31" t="s">
        <v>37</v>
      </c>
      <c r="C99" s="38">
        <v>232.155</v>
      </c>
      <c r="D99" s="38">
        <v>232.155</v>
      </c>
      <c r="E99" s="38">
        <v>232.155</v>
      </c>
      <c r="F99" s="38">
        <v>232.155</v>
      </c>
      <c r="G99" s="38">
        <v>154.77000000000001</v>
      </c>
      <c r="H99" s="38">
        <v>0</v>
      </c>
      <c r="I99" s="38">
        <v>0</v>
      </c>
      <c r="J99" s="38">
        <v>232.155</v>
      </c>
      <c r="K99" s="38">
        <v>232.155</v>
      </c>
      <c r="L99" s="38">
        <v>232.155</v>
      </c>
      <c r="M99" s="38">
        <v>232.155</v>
      </c>
      <c r="N99" s="38">
        <v>154.77000000000001</v>
      </c>
    </row>
    <row r="100" spans="1:14">
      <c r="A100" s="31" t="s">
        <v>83</v>
      </c>
      <c r="B100" s="31" t="s">
        <v>84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>
      <c r="A101" s="31" t="s">
        <v>39</v>
      </c>
      <c r="B101" s="31" t="s">
        <v>40</v>
      </c>
      <c r="C101" s="39">
        <v>386.00930510000001</v>
      </c>
      <c r="D101" s="39">
        <v>413.03972444029461</v>
      </c>
      <c r="E101" s="39">
        <v>421.02368431281542</v>
      </c>
      <c r="F101" s="39">
        <v>437.08474205616091</v>
      </c>
      <c r="G101" s="39">
        <v>352.59943232380192</v>
      </c>
      <c r="H101" s="39">
        <v>0</v>
      </c>
      <c r="I101" s="39">
        <v>0</v>
      </c>
      <c r="J101" s="39">
        <v>415.43142059329455</v>
      </c>
      <c r="K101" s="39">
        <v>388.401001253</v>
      </c>
      <c r="L101" s="39">
        <v>374.32643984999999</v>
      </c>
      <c r="M101" s="39">
        <v>413.03972444029461</v>
      </c>
      <c r="N101" s="39">
        <v>309.51752350921868</v>
      </c>
    </row>
    <row r="102" spans="1:14">
      <c r="B102" s="31" t="s">
        <v>234</v>
      </c>
      <c r="C102" s="38">
        <v>13731.451057800001</v>
      </c>
      <c r="D102" s="38">
        <v>14284.648954983561</v>
      </c>
      <c r="E102" s="38">
        <v>14448.046709086933</v>
      </c>
      <c r="F102" s="38">
        <v>14776.748356601431</v>
      </c>
      <c r="G102" s="38">
        <v>11103.866239613151</v>
      </c>
      <c r="H102" s="38">
        <v>0</v>
      </c>
      <c r="I102" s="38">
        <v>0</v>
      </c>
      <c r="J102" s="38">
        <v>14333.596818717564</v>
      </c>
      <c r="K102" s="38">
        <v>13780.398921533999</v>
      </c>
      <c r="L102" s="38">
        <v>13492.352418299999</v>
      </c>
      <c r="M102" s="38">
        <v>14284.648954983561</v>
      </c>
      <c r="N102" s="38">
        <v>10222.162516750312</v>
      </c>
    </row>
    <row r="103" spans="1:14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>
      <c r="A104" s="35"/>
      <c r="B104" s="35" t="s">
        <v>235</v>
      </c>
      <c r="C104" s="40">
        <v>66889.438057799998</v>
      </c>
      <c r="D104" s="40">
        <v>71145.433124886928</v>
      </c>
      <c r="E104" s="40">
        <v>72402.524012212336</v>
      </c>
      <c r="F104" s="40">
        <v>74931.370556075533</v>
      </c>
      <c r="G104" s="40">
        <v>60455.1583387641</v>
      </c>
      <c r="H104" s="40">
        <v>0</v>
      </c>
      <c r="I104" s="40">
        <v>0</v>
      </c>
      <c r="J104" s="40">
        <v>72292.010598620924</v>
      </c>
      <c r="K104" s="40">
        <v>68036.015531533994</v>
      </c>
      <c r="L104" s="40">
        <v>65819.946918300004</v>
      </c>
      <c r="M104" s="40">
        <v>71915.433124886928</v>
      </c>
      <c r="N104" s="40">
        <v>53671.823271437795</v>
      </c>
    </row>
    <row r="105" spans="1:14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>
      <c r="A106" s="31" t="s">
        <v>236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>
      <c r="A107" s="31" t="s">
        <v>237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>
      <c r="A108" s="31" t="s">
        <v>51</v>
      </c>
      <c r="B108" s="31" t="s">
        <v>50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>
      <c r="A109" s="31" t="s">
        <v>41</v>
      </c>
      <c r="B109" s="31" t="s">
        <v>42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>
      <c r="A110" s="31" t="s">
        <v>43</v>
      </c>
      <c r="B110" s="31" t="s">
        <v>238</v>
      </c>
      <c r="C110" s="38">
        <v>400</v>
      </c>
      <c r="D110" s="38">
        <v>400</v>
      </c>
      <c r="E110" s="38">
        <v>400</v>
      </c>
      <c r="F110" s="38">
        <v>400</v>
      </c>
      <c r="G110" s="38">
        <v>400</v>
      </c>
      <c r="H110" s="38"/>
      <c r="I110" s="38"/>
      <c r="J110" s="38">
        <v>400</v>
      </c>
      <c r="K110" s="38">
        <v>400</v>
      </c>
      <c r="L110" s="38">
        <v>400</v>
      </c>
      <c r="M110" s="38">
        <v>400</v>
      </c>
      <c r="N110" s="38">
        <v>400</v>
      </c>
    </row>
    <row r="111" spans="1:14">
      <c r="A111" s="31" t="s">
        <v>44</v>
      </c>
      <c r="B111" s="31" t="s">
        <v>45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>
      <c r="A112" s="31" t="s">
        <v>46</v>
      </c>
      <c r="B112" s="31" t="s">
        <v>239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>
      <c r="A113" s="31" t="s">
        <v>47</v>
      </c>
      <c r="B113" s="31" t="s">
        <v>240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>
      <c r="A114" s="31" t="s">
        <v>48</v>
      </c>
      <c r="B114" s="31" t="s">
        <v>49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>
      <c r="A115" s="31" t="s">
        <v>82</v>
      </c>
      <c r="B115" s="31" t="s">
        <v>166</v>
      </c>
      <c r="C115" s="38">
        <v>50</v>
      </c>
      <c r="D115" s="38">
        <v>50</v>
      </c>
      <c r="E115" s="38">
        <v>50</v>
      </c>
      <c r="F115" s="38">
        <v>50</v>
      </c>
      <c r="G115" s="38">
        <v>50</v>
      </c>
      <c r="H115" s="38"/>
      <c r="I115" s="38"/>
      <c r="J115" s="38">
        <v>50</v>
      </c>
      <c r="K115" s="38">
        <v>50</v>
      </c>
      <c r="L115" s="38">
        <v>50</v>
      </c>
      <c r="M115" s="38">
        <v>50</v>
      </c>
      <c r="N115" s="38">
        <v>50</v>
      </c>
    </row>
    <row r="116" spans="1:14">
      <c r="A116" s="31" t="s">
        <v>104</v>
      </c>
      <c r="B116" s="31" t="s">
        <v>103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>
      <c r="A117" s="31" t="s">
        <v>59</v>
      </c>
      <c r="B117" s="31" t="s">
        <v>318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>
      <c r="A118" s="31" t="s">
        <v>87</v>
      </c>
      <c r="B118" s="31" t="s">
        <v>88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>
      <c r="A119" s="31" t="s">
        <v>89</v>
      </c>
      <c r="B119" s="31" t="s">
        <v>90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>
      <c r="A120" s="31" t="s">
        <v>413</v>
      </c>
      <c r="B120" s="31" t="s">
        <v>414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>
      <c r="A121" s="31" t="s">
        <v>52</v>
      </c>
      <c r="B121" s="31" t="s">
        <v>53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>
      <c r="B122" s="31" t="s">
        <v>241</v>
      </c>
      <c r="C122" s="38">
        <v>450</v>
      </c>
      <c r="D122" s="38">
        <v>450</v>
      </c>
      <c r="E122" s="38">
        <v>450</v>
      </c>
      <c r="F122" s="38">
        <v>450</v>
      </c>
      <c r="G122" s="38">
        <v>450</v>
      </c>
      <c r="H122" s="38">
        <v>0</v>
      </c>
      <c r="I122" s="38">
        <v>0</v>
      </c>
      <c r="J122" s="38">
        <v>450</v>
      </c>
      <c r="K122" s="38">
        <v>450</v>
      </c>
      <c r="L122" s="38">
        <v>450</v>
      </c>
      <c r="M122" s="38">
        <v>450</v>
      </c>
      <c r="N122" s="38">
        <v>450</v>
      </c>
    </row>
    <row r="123" spans="1:14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>
      <c r="A124" s="31" t="s">
        <v>242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>
      <c r="A125" s="31" t="s">
        <v>56</v>
      </c>
      <c r="B125" s="31" t="s">
        <v>245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>
      <c r="A126" s="31" t="s">
        <v>57</v>
      </c>
      <c r="B126" s="31" t="s">
        <v>246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>
      <c r="A127" s="31" t="s">
        <v>58</v>
      </c>
      <c r="B127" s="31" t="s">
        <v>247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>
      <c r="A128" s="31" t="s">
        <v>55</v>
      </c>
      <c r="B128" s="31" t="s">
        <v>244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>
      <c r="A129" s="31" t="s">
        <v>54</v>
      </c>
      <c r="B129" s="31" t="s">
        <v>243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>
      <c r="A130" s="31" t="s">
        <v>60</v>
      </c>
      <c r="B130" s="31" t="s">
        <v>61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>
      <c r="A131" s="31" t="s">
        <v>411</v>
      </c>
      <c r="B131" s="31" t="s">
        <v>412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>
      <c r="A132" s="31" t="s">
        <v>62</v>
      </c>
      <c r="B132" s="31" t="s">
        <v>248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>
      <c r="B133" s="31" t="s">
        <v>249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</row>
    <row r="134" spans="1:14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>
      <c r="A135" s="31" t="s">
        <v>250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>
      <c r="A136" s="31" t="s">
        <v>251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>
      <c r="A137" s="31" t="s">
        <v>63</v>
      </c>
      <c r="B137" s="31" t="s">
        <v>252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>
      <c r="A138" s="31" t="s">
        <v>64</v>
      </c>
      <c r="B138" s="31" t="s">
        <v>253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>
      <c r="A139" s="31" t="s">
        <v>417</v>
      </c>
      <c r="B139" s="31" t="s">
        <v>418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>
      <c r="A140" s="31" t="s">
        <v>65</v>
      </c>
      <c r="B140" s="31" t="s">
        <v>254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>
      <c r="B141" s="31" t="s">
        <v>255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</row>
    <row r="142" spans="1:14"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>
      <c r="A143" s="31" t="s">
        <v>256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>
      <c r="A144" s="31" t="s">
        <v>66</v>
      </c>
      <c r="B144" s="31" t="s">
        <v>257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>
      <c r="A145" s="31" t="s">
        <v>67</v>
      </c>
      <c r="B145" s="31" t="s">
        <v>258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>
      <c r="A146" s="31" t="s">
        <v>68</v>
      </c>
      <c r="B146" s="31" t="s">
        <v>259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>
      <c r="A147" s="31" t="s">
        <v>69</v>
      </c>
      <c r="B147" s="31" t="s">
        <v>260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>
      <c r="A148" s="31" t="s">
        <v>70</v>
      </c>
      <c r="B148" s="31" t="s">
        <v>261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>
      <c r="A149" s="31" t="s">
        <v>425</v>
      </c>
      <c r="B149" s="31" t="s">
        <v>427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>
      <c r="B150" s="31" t="s">
        <v>262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</row>
    <row r="151" spans="1:14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>
      <c r="A152" s="31" t="s">
        <v>263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>
      <c r="A153" s="31" t="s">
        <v>264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>
      <c r="A154" s="31" t="s">
        <v>71</v>
      </c>
      <c r="B154" s="31" t="s">
        <v>72</v>
      </c>
      <c r="C154" s="39">
        <v>150</v>
      </c>
      <c r="D154" s="39">
        <v>150</v>
      </c>
      <c r="E154" s="39">
        <v>150</v>
      </c>
      <c r="F154" s="39">
        <v>150</v>
      </c>
      <c r="G154" s="39">
        <v>150</v>
      </c>
      <c r="H154" s="39"/>
      <c r="I154" s="39"/>
      <c r="J154" s="39">
        <v>150</v>
      </c>
      <c r="K154" s="39">
        <v>150</v>
      </c>
      <c r="L154" s="39">
        <v>150</v>
      </c>
      <c r="M154" s="39">
        <v>150</v>
      </c>
      <c r="N154" s="39">
        <v>150</v>
      </c>
    </row>
    <row r="155" spans="1:14">
      <c r="B155" s="31" t="s">
        <v>265</v>
      </c>
      <c r="C155" s="38">
        <v>150</v>
      </c>
      <c r="D155" s="38">
        <v>150</v>
      </c>
      <c r="E155" s="38">
        <v>150</v>
      </c>
      <c r="F155" s="38">
        <v>150</v>
      </c>
      <c r="G155" s="38">
        <v>150</v>
      </c>
      <c r="H155" s="38">
        <v>0</v>
      </c>
      <c r="I155" s="38">
        <v>0</v>
      </c>
      <c r="J155" s="38">
        <v>150</v>
      </c>
      <c r="K155" s="38">
        <v>150</v>
      </c>
      <c r="L155" s="38">
        <v>150</v>
      </c>
      <c r="M155" s="38">
        <v>150</v>
      </c>
      <c r="N155" s="38">
        <v>150</v>
      </c>
    </row>
    <row r="156" spans="1:14"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>
      <c r="A157" s="31" t="s">
        <v>266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>
      <c r="A158" s="31" t="s">
        <v>73</v>
      </c>
      <c r="B158" s="31" t="s">
        <v>74</v>
      </c>
      <c r="C158" s="38">
        <v>1500</v>
      </c>
      <c r="D158" s="38">
        <v>1500</v>
      </c>
      <c r="E158" s="38">
        <v>1500</v>
      </c>
      <c r="F158" s="38">
        <v>1500</v>
      </c>
      <c r="G158" s="38">
        <v>500</v>
      </c>
      <c r="H158" s="38"/>
      <c r="I158" s="38"/>
      <c r="J158" s="38">
        <v>1500</v>
      </c>
      <c r="K158" s="38">
        <v>1500</v>
      </c>
      <c r="L158" s="38">
        <v>1500</v>
      </c>
      <c r="M158" s="38">
        <v>1500</v>
      </c>
      <c r="N158" s="38">
        <v>500</v>
      </c>
    </row>
    <row r="159" spans="1:14">
      <c r="A159" s="31" t="s">
        <v>75</v>
      </c>
      <c r="B159" s="31" t="s">
        <v>154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>
      <c r="A160" s="31" t="s">
        <v>442</v>
      </c>
      <c r="B160" s="31" t="s">
        <v>97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>
      <c r="A161" s="31" t="s">
        <v>443</v>
      </c>
      <c r="B161" s="31" t="s">
        <v>421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>
      <c r="A162" s="31" t="s">
        <v>444</v>
      </c>
      <c r="B162" s="31" t="s">
        <v>423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>
      <c r="A163" s="31" t="s">
        <v>445</v>
      </c>
      <c r="B163" s="31" t="s">
        <v>416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>
      <c r="A164" s="31" t="s">
        <v>76</v>
      </c>
      <c r="B164" s="31" t="s">
        <v>155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>
      <c r="A165" s="31" t="s">
        <v>79</v>
      </c>
      <c r="B165" s="31" t="s">
        <v>156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>
      <c r="A166" s="31" t="s">
        <v>78</v>
      </c>
      <c r="B166" s="31" t="s">
        <v>157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1:14">
      <c r="A167" s="31" t="s">
        <v>77</v>
      </c>
      <c r="B167" s="31" t="s">
        <v>158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>
      <c r="A168" s="31" t="s">
        <v>80</v>
      </c>
      <c r="B168" s="31" t="s">
        <v>159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>
      <c r="A169" s="31" t="s">
        <v>81</v>
      </c>
      <c r="B169" s="31" t="s">
        <v>160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>
      <c r="A170" s="31" t="s">
        <v>161</v>
      </c>
      <c r="B170" s="31" t="s">
        <v>162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>
      <c r="B171" s="31" t="s">
        <v>163</v>
      </c>
      <c r="C171" s="38">
        <v>1500</v>
      </c>
      <c r="D171" s="38">
        <v>1500</v>
      </c>
      <c r="E171" s="38">
        <v>1500</v>
      </c>
      <c r="F171" s="38">
        <v>1500</v>
      </c>
      <c r="G171" s="38">
        <v>500</v>
      </c>
      <c r="H171" s="38">
        <v>0</v>
      </c>
      <c r="I171" s="38">
        <v>0</v>
      </c>
      <c r="J171" s="38">
        <v>1500</v>
      </c>
      <c r="K171" s="38">
        <v>1500</v>
      </c>
      <c r="L171" s="38">
        <v>1500</v>
      </c>
      <c r="M171" s="38">
        <v>1500</v>
      </c>
      <c r="N171" s="38">
        <v>500</v>
      </c>
    </row>
    <row r="172" spans="1:14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1:14">
      <c r="A173" s="31" t="s">
        <v>164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>
      <c r="A174" s="31" t="s">
        <v>165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>
      <c r="A175" s="31" t="s">
        <v>86</v>
      </c>
      <c r="B175" s="31" t="s">
        <v>85</v>
      </c>
      <c r="C175" s="47">
        <v>0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</row>
    <row r="176" spans="1:14">
      <c r="A176" s="31" t="s">
        <v>91</v>
      </c>
      <c r="B176" s="31" t="s">
        <v>92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1:14">
      <c r="A177" s="31" t="s">
        <v>93</v>
      </c>
      <c r="B177" s="31" t="s">
        <v>94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>
      <c r="A178" s="31" t="s">
        <v>95</v>
      </c>
      <c r="B178" s="31" t="s">
        <v>405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>
      <c r="A179" s="31" t="s">
        <v>96</v>
      </c>
      <c r="B179" s="31" t="s">
        <v>404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>
      <c r="A180" s="31" t="s">
        <v>98</v>
      </c>
      <c r="B180" s="31" t="s">
        <v>99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>
      <c r="A181" s="31" t="s">
        <v>100</v>
      </c>
      <c r="B181" s="31" t="s">
        <v>284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>
      <c r="A182" s="31" t="s">
        <v>101</v>
      </c>
      <c r="B182" s="31" t="s">
        <v>102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>
      <c r="A183" s="31" t="s">
        <v>105</v>
      </c>
      <c r="B183" s="31" t="s">
        <v>167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>
      <c r="A184" s="31" t="s">
        <v>106</v>
      </c>
      <c r="B184" s="31" t="s">
        <v>107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>
      <c r="A185" s="31" t="s">
        <v>428</v>
      </c>
      <c r="B185" s="31" t="s">
        <v>429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>
      <c r="B186" s="31" t="s">
        <v>168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</row>
    <row r="187" spans="1:14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>
      <c r="A188" s="35"/>
      <c r="B188" s="35" t="s">
        <v>169</v>
      </c>
      <c r="C188" s="40">
        <v>2100</v>
      </c>
      <c r="D188" s="40">
        <v>2100</v>
      </c>
      <c r="E188" s="40">
        <v>2100</v>
      </c>
      <c r="F188" s="40">
        <v>2100</v>
      </c>
      <c r="G188" s="40">
        <v>1100</v>
      </c>
      <c r="H188" s="40">
        <v>0</v>
      </c>
      <c r="I188" s="40">
        <v>0</v>
      </c>
      <c r="J188" s="40">
        <v>2100</v>
      </c>
      <c r="K188" s="40">
        <v>2100</v>
      </c>
      <c r="L188" s="40">
        <v>2100</v>
      </c>
      <c r="M188" s="40">
        <v>2100</v>
      </c>
      <c r="N188" s="40">
        <v>1100</v>
      </c>
    </row>
    <row r="189" spans="1:14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>
      <c r="B190" s="35" t="s">
        <v>435</v>
      </c>
      <c r="C190" s="47">
        <v>68989.438057799998</v>
      </c>
      <c r="D190" s="47">
        <v>73245.433124886928</v>
      </c>
      <c r="E190" s="47">
        <v>74502.524012212336</v>
      </c>
      <c r="F190" s="47">
        <v>77031.370556075533</v>
      </c>
      <c r="G190" s="47">
        <v>61555.1583387641</v>
      </c>
      <c r="H190" s="47">
        <v>0</v>
      </c>
      <c r="I190" s="47">
        <v>0</v>
      </c>
      <c r="J190" s="47">
        <v>74392.010598620924</v>
      </c>
      <c r="K190" s="47">
        <v>70136.015531533994</v>
      </c>
      <c r="L190" s="47">
        <v>67919.946918300004</v>
      </c>
      <c r="M190" s="47">
        <v>74015.433124886928</v>
      </c>
      <c r="N190" s="47">
        <v>54771.823271437795</v>
      </c>
    </row>
    <row r="191" spans="1:14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>
      <c r="A192" s="35"/>
      <c r="B192" s="35" t="s">
        <v>170</v>
      </c>
      <c r="C192" s="40">
        <v>-68989.438057799998</v>
      </c>
      <c r="D192" s="40">
        <v>-73245.433124886928</v>
      </c>
      <c r="E192" s="40">
        <v>-74502.524012212336</v>
      </c>
      <c r="F192" s="40">
        <v>-77031.370556075533</v>
      </c>
      <c r="G192" s="40">
        <v>-61555.1583387641</v>
      </c>
      <c r="H192" s="40">
        <v>0</v>
      </c>
      <c r="I192" s="40">
        <v>0</v>
      </c>
      <c r="J192" s="40">
        <v>-74392.010598620924</v>
      </c>
      <c r="K192" s="40">
        <v>-70136.015531533994</v>
      </c>
      <c r="L192" s="40">
        <v>-67919.946918300004</v>
      </c>
      <c r="M192" s="40">
        <v>-74015.433124886928</v>
      </c>
      <c r="N192" s="40">
        <v>-54771.823271437795</v>
      </c>
    </row>
    <row r="194" spans="1:2">
      <c r="A194" s="78"/>
    </row>
    <row r="195" spans="1:2">
      <c r="A195" s="78"/>
    </row>
    <row r="196" spans="1:2">
      <c r="B196" s="26"/>
    </row>
  </sheetData>
  <pageMargins left="0.7" right="0.7" top="0.75" bottom="0.75" header="0.3" footer="0.3"/>
  <pageSetup scale="71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K221"/>
  <sheetViews>
    <sheetView topLeftCell="A54" workbookViewId="0">
      <selection activeCell="M73" sqref="M73"/>
    </sheetView>
  </sheetViews>
  <sheetFormatPr baseColWidth="10" defaultColWidth="8.7109375" defaultRowHeight="12" x14ac:dyDescent="0"/>
  <cols>
    <col min="1" max="1" width="1.42578125" style="3" customWidth="1"/>
    <col min="2" max="2" width="1.7109375" style="3" customWidth="1"/>
    <col min="3" max="3" width="5" style="3" customWidth="1"/>
    <col min="4" max="4" width="8.7109375" style="3"/>
    <col min="5" max="5" width="1.42578125" style="3" customWidth="1"/>
    <col min="6" max="6" width="11.42578125" style="3" customWidth="1"/>
    <col min="7" max="7" width="1.42578125" style="3" customWidth="1"/>
    <col min="8" max="8" width="10.5703125" style="3" customWidth="1"/>
    <col min="9" max="9" width="1.42578125" style="3" customWidth="1"/>
    <col min="10" max="10" width="11.28515625" style="3" customWidth="1"/>
    <col min="11" max="16384" width="8.7109375" style="3"/>
  </cols>
  <sheetData>
    <row r="1" spans="1:11">
      <c r="A1" s="3" t="s">
        <v>108</v>
      </c>
    </row>
    <row r="2" spans="1:11">
      <c r="C2" s="3" t="s">
        <v>109</v>
      </c>
    </row>
    <row r="3" spans="1:11" ht="19.25" customHeight="1">
      <c r="B3" s="3" t="s">
        <v>110</v>
      </c>
      <c r="D3" s="3" t="s">
        <v>111</v>
      </c>
      <c r="F3" s="3" t="s">
        <v>112</v>
      </c>
      <c r="H3" s="3" t="s">
        <v>113</v>
      </c>
    </row>
    <row r="4" spans="1:11">
      <c r="C4" s="3">
        <v>1</v>
      </c>
      <c r="D4" s="17">
        <f>65500*0.99-700</f>
        <v>64145</v>
      </c>
      <c r="E4" s="17"/>
      <c r="F4" s="17">
        <f>D4+500</f>
        <v>64645</v>
      </c>
      <c r="G4" s="17"/>
      <c r="H4" s="17">
        <f>F4+750</f>
        <v>65395</v>
      </c>
      <c r="I4" s="17"/>
      <c r="J4" s="17"/>
      <c r="K4" s="17"/>
    </row>
    <row r="5" spans="1:11">
      <c r="C5" s="3">
        <v>2</v>
      </c>
      <c r="D5" s="17">
        <f t="shared" ref="D5:D13" si="0">D4*1.03</f>
        <v>66069.350000000006</v>
      </c>
      <c r="E5" s="17"/>
      <c r="F5" s="17">
        <f t="shared" ref="F5:F13" si="1">F4*1.03</f>
        <v>66584.350000000006</v>
      </c>
      <c r="G5" s="17"/>
      <c r="H5" s="17">
        <f t="shared" ref="H5:H13" si="2">H4*1.03</f>
        <v>67356.850000000006</v>
      </c>
      <c r="I5" s="17"/>
      <c r="J5" s="17"/>
      <c r="K5" s="17"/>
    </row>
    <row r="6" spans="1:11">
      <c r="C6" s="3">
        <v>3</v>
      </c>
      <c r="D6" s="17">
        <f t="shared" si="0"/>
        <v>68051.430500000002</v>
      </c>
      <c r="E6" s="17"/>
      <c r="F6" s="17">
        <f t="shared" si="1"/>
        <v>68581.880500000014</v>
      </c>
      <c r="G6" s="17"/>
      <c r="H6" s="17">
        <f t="shared" si="2"/>
        <v>69377.555500000002</v>
      </c>
      <c r="I6" s="17"/>
      <c r="J6" s="17"/>
      <c r="K6" s="17"/>
    </row>
    <row r="7" spans="1:11">
      <c r="C7" s="3">
        <v>4</v>
      </c>
      <c r="D7" s="17">
        <f t="shared" si="0"/>
        <v>70092.973415</v>
      </c>
      <c r="E7" s="17"/>
      <c r="F7" s="17">
        <f t="shared" si="1"/>
        <v>70639.336915000022</v>
      </c>
      <c r="G7" s="17"/>
      <c r="H7" s="17">
        <f t="shared" si="2"/>
        <v>71458.882165000003</v>
      </c>
      <c r="I7" s="17"/>
      <c r="J7" s="17"/>
      <c r="K7" s="17"/>
    </row>
    <row r="8" spans="1:11">
      <c r="C8" s="3">
        <v>5</v>
      </c>
      <c r="D8" s="17">
        <f t="shared" si="0"/>
        <v>72195.762617450004</v>
      </c>
      <c r="E8" s="17"/>
      <c r="F8" s="17">
        <f t="shared" si="1"/>
        <v>72758.517022450018</v>
      </c>
      <c r="G8" s="17"/>
      <c r="H8" s="17">
        <f t="shared" si="2"/>
        <v>73602.64862995001</v>
      </c>
      <c r="I8" s="17"/>
      <c r="J8" s="17"/>
      <c r="K8" s="17"/>
    </row>
    <row r="9" spans="1:11">
      <c r="C9" s="3">
        <v>6</v>
      </c>
      <c r="D9" s="17">
        <f t="shared" si="0"/>
        <v>74361.635495973504</v>
      </c>
      <c r="E9" s="17"/>
      <c r="F9" s="17">
        <f t="shared" si="1"/>
        <v>74941.272533123527</v>
      </c>
      <c r="G9" s="17"/>
      <c r="H9" s="17">
        <f t="shared" si="2"/>
        <v>75810.728088848511</v>
      </c>
      <c r="I9" s="17"/>
      <c r="J9" s="17"/>
      <c r="K9" s="17"/>
    </row>
    <row r="10" spans="1:11">
      <c r="C10" s="3">
        <v>7</v>
      </c>
      <c r="D10" s="17">
        <f t="shared" si="0"/>
        <v>76592.48456085271</v>
      </c>
      <c r="E10" s="17"/>
      <c r="F10" s="17">
        <f t="shared" si="1"/>
        <v>77189.510709117239</v>
      </c>
      <c r="G10" s="17"/>
      <c r="H10" s="17">
        <f t="shared" si="2"/>
        <v>78085.049931513975</v>
      </c>
      <c r="I10" s="17"/>
      <c r="J10" s="17"/>
      <c r="K10" s="17"/>
    </row>
    <row r="11" spans="1:11">
      <c r="C11" s="3">
        <v>8</v>
      </c>
      <c r="D11" s="17">
        <f t="shared" si="0"/>
        <v>78890.259097678296</v>
      </c>
      <c r="E11" s="17"/>
      <c r="F11" s="17">
        <f t="shared" si="1"/>
        <v>79505.196030390754</v>
      </c>
      <c r="G11" s="17"/>
      <c r="H11" s="17">
        <f t="shared" si="2"/>
        <v>80427.601429459392</v>
      </c>
      <c r="I11" s="17"/>
      <c r="J11" s="17"/>
      <c r="K11" s="17"/>
    </row>
    <row r="12" spans="1:11">
      <c r="C12" s="3">
        <v>9</v>
      </c>
      <c r="D12" s="17">
        <f t="shared" si="0"/>
        <v>81256.966870608652</v>
      </c>
      <c r="E12" s="17"/>
      <c r="F12" s="17">
        <f t="shared" si="1"/>
        <v>81890.351911302481</v>
      </c>
      <c r="G12" s="17"/>
      <c r="H12" s="17">
        <f t="shared" si="2"/>
        <v>82840.429472343181</v>
      </c>
      <c r="I12" s="17"/>
      <c r="J12" s="17"/>
      <c r="K12" s="17"/>
    </row>
    <row r="13" spans="1:11">
      <c r="C13" s="3">
        <v>10</v>
      </c>
      <c r="D13" s="17">
        <f t="shared" si="0"/>
        <v>83694.67587672692</v>
      </c>
      <c r="E13" s="17"/>
      <c r="F13" s="17">
        <f t="shared" si="1"/>
        <v>84347.062468641554</v>
      </c>
      <c r="G13" s="17"/>
      <c r="H13" s="17">
        <f t="shared" si="2"/>
        <v>85325.642356513476</v>
      </c>
      <c r="I13" s="17"/>
      <c r="J13" s="17"/>
      <c r="K13" s="17"/>
    </row>
    <row r="14" spans="1:11">
      <c r="D14" s="17"/>
      <c r="E14" s="17"/>
      <c r="F14" s="17"/>
      <c r="G14" s="17"/>
      <c r="H14" s="17"/>
      <c r="I14" s="17"/>
      <c r="J14" s="17"/>
      <c r="K14" s="17"/>
    </row>
    <row r="15" spans="1:11">
      <c r="D15" s="17"/>
      <c r="E15" s="17"/>
      <c r="F15" s="17"/>
      <c r="G15" s="17"/>
      <c r="H15" s="17"/>
      <c r="I15" s="17"/>
      <c r="J15" s="17"/>
      <c r="K15" s="17"/>
    </row>
    <row r="16" spans="1:11">
      <c r="A16" s="3" t="s">
        <v>114</v>
      </c>
      <c r="D16" s="17"/>
      <c r="E16" s="17"/>
      <c r="F16" s="17"/>
      <c r="G16" s="17"/>
      <c r="H16" s="17"/>
      <c r="I16" s="17"/>
      <c r="J16" s="17"/>
      <c r="K16" s="17"/>
    </row>
    <row r="17" spans="2:11">
      <c r="C17" s="3" t="s">
        <v>109</v>
      </c>
      <c r="D17" s="17"/>
      <c r="E17" s="17"/>
      <c r="F17" s="17"/>
      <c r="G17" s="17"/>
      <c r="H17" s="17"/>
      <c r="I17" s="17"/>
      <c r="J17" s="17"/>
      <c r="K17" s="17"/>
    </row>
    <row r="18" spans="2:11">
      <c r="B18" s="3" t="str">
        <f>B3</f>
        <v>Level</v>
      </c>
      <c r="D18" s="17" t="s">
        <v>115</v>
      </c>
      <c r="E18" s="17"/>
      <c r="F18" s="17" t="s">
        <v>116</v>
      </c>
      <c r="G18" s="17"/>
      <c r="H18" s="17" t="s">
        <v>112</v>
      </c>
      <c r="I18" s="17"/>
      <c r="J18" s="17" t="s">
        <v>113</v>
      </c>
      <c r="K18" s="17"/>
    </row>
    <row r="19" spans="2:11">
      <c r="C19" s="3">
        <v>1</v>
      </c>
      <c r="D19" s="17">
        <f>50000*0.99</f>
        <v>49500</v>
      </c>
      <c r="E19" s="17"/>
      <c r="F19" s="17">
        <f>D19+500</f>
        <v>50000</v>
      </c>
      <c r="G19" s="17"/>
      <c r="H19" s="17">
        <f>F19+500</f>
        <v>50500</v>
      </c>
      <c r="I19" s="17"/>
      <c r="J19" s="17">
        <f>H19+750</f>
        <v>51250</v>
      </c>
      <c r="K19" s="17"/>
    </row>
    <row r="20" spans="2:11">
      <c r="C20" s="3">
        <v>2</v>
      </c>
      <c r="D20" s="17">
        <f t="shared" ref="D20:D35" si="3">D19*1.03</f>
        <v>50985</v>
      </c>
      <c r="E20" s="17"/>
      <c r="F20" s="17">
        <f t="shared" ref="F20:F35" si="4">F19*1.03</f>
        <v>51500</v>
      </c>
      <c r="G20" s="17"/>
      <c r="H20" s="17">
        <f t="shared" ref="H20:H28" si="5">F20*1.03</f>
        <v>53045</v>
      </c>
      <c r="I20" s="17"/>
      <c r="J20" s="17">
        <f t="shared" ref="J20:J28" si="6">H20*1.03</f>
        <v>54636.35</v>
      </c>
      <c r="K20" s="17"/>
    </row>
    <row r="21" spans="2:11">
      <c r="C21" s="3">
        <v>3</v>
      </c>
      <c r="D21" s="17">
        <f t="shared" si="3"/>
        <v>52514.55</v>
      </c>
      <c r="E21" s="17"/>
      <c r="F21" s="17">
        <f t="shared" si="4"/>
        <v>53045</v>
      </c>
      <c r="G21" s="17"/>
      <c r="H21" s="17">
        <f t="shared" si="5"/>
        <v>54636.35</v>
      </c>
      <c r="I21" s="17"/>
      <c r="J21" s="17">
        <f t="shared" si="6"/>
        <v>56275.440499999997</v>
      </c>
      <c r="K21" s="17"/>
    </row>
    <row r="22" spans="2:11">
      <c r="C22" s="3">
        <v>4</v>
      </c>
      <c r="D22" s="17">
        <f>D21*1.03</f>
        <v>54089.986500000006</v>
      </c>
      <c r="E22" s="17"/>
      <c r="F22" s="17">
        <f>F21*1.03</f>
        <v>54636.35</v>
      </c>
      <c r="G22" s="17"/>
      <c r="H22" s="17">
        <f t="shared" si="5"/>
        <v>56275.440499999997</v>
      </c>
      <c r="I22" s="17"/>
      <c r="J22" s="17">
        <f t="shared" si="6"/>
        <v>57963.703714999996</v>
      </c>
      <c r="K22" s="17"/>
    </row>
    <row r="23" spans="2:11">
      <c r="C23" s="3">
        <v>5</v>
      </c>
      <c r="D23" s="17">
        <f t="shared" si="3"/>
        <v>55712.686095000005</v>
      </c>
      <c r="E23" s="17"/>
      <c r="F23" s="17">
        <f t="shared" si="4"/>
        <v>56275.440499999997</v>
      </c>
      <c r="G23" s="17"/>
      <c r="H23" s="17">
        <f t="shared" si="5"/>
        <v>57963.703714999996</v>
      </c>
      <c r="I23" s="17"/>
      <c r="J23" s="17">
        <f t="shared" si="6"/>
        <v>59702.614826450001</v>
      </c>
      <c r="K23" s="17"/>
    </row>
    <row r="24" spans="2:11">
      <c r="C24" s="3">
        <v>6</v>
      </c>
      <c r="D24" s="17">
        <f t="shared" si="3"/>
        <v>57384.066677850009</v>
      </c>
      <c r="E24" s="17"/>
      <c r="F24" s="17">
        <f t="shared" si="4"/>
        <v>57963.703714999996</v>
      </c>
      <c r="G24" s="17"/>
      <c r="H24" s="17">
        <f t="shared" si="5"/>
        <v>59702.614826450001</v>
      </c>
      <c r="I24" s="17"/>
      <c r="J24" s="17">
        <f t="shared" si="6"/>
        <v>61493.693271243501</v>
      </c>
      <c r="K24" s="17"/>
    </row>
    <row r="25" spans="2:11">
      <c r="C25" s="3">
        <v>7</v>
      </c>
      <c r="D25" s="17">
        <f t="shared" si="3"/>
        <v>59105.588678185508</v>
      </c>
      <c r="E25" s="17"/>
      <c r="F25" s="17">
        <f t="shared" si="4"/>
        <v>59702.614826450001</v>
      </c>
      <c r="G25" s="17"/>
      <c r="H25" s="17">
        <f t="shared" si="5"/>
        <v>61493.693271243501</v>
      </c>
      <c r="I25" s="17"/>
      <c r="J25" s="17">
        <f t="shared" si="6"/>
        <v>63338.504069380804</v>
      </c>
      <c r="K25" s="17"/>
    </row>
    <row r="26" spans="2:11">
      <c r="C26" s="3">
        <v>8</v>
      </c>
      <c r="D26" s="17">
        <f t="shared" si="3"/>
        <v>60878.756338531071</v>
      </c>
      <c r="E26" s="17"/>
      <c r="F26" s="17">
        <f t="shared" si="4"/>
        <v>61493.693271243501</v>
      </c>
      <c r="G26" s="17"/>
      <c r="H26" s="17">
        <f t="shared" si="5"/>
        <v>63338.504069380804</v>
      </c>
      <c r="I26" s="17"/>
      <c r="J26" s="17">
        <f t="shared" si="6"/>
        <v>65238.659191462233</v>
      </c>
      <c r="K26" s="17"/>
    </row>
    <row r="27" spans="2:11">
      <c r="C27" s="3">
        <v>9</v>
      </c>
      <c r="D27" s="17">
        <f t="shared" si="3"/>
        <v>62705.119028687004</v>
      </c>
      <c r="E27" s="17"/>
      <c r="F27" s="17">
        <f t="shared" si="4"/>
        <v>63338.504069380804</v>
      </c>
      <c r="G27" s="17"/>
      <c r="H27" s="17">
        <f t="shared" si="5"/>
        <v>65238.659191462233</v>
      </c>
      <c r="I27" s="17"/>
      <c r="J27" s="17">
        <f t="shared" si="6"/>
        <v>67195.818967206098</v>
      </c>
      <c r="K27" s="17"/>
    </row>
    <row r="28" spans="2:11">
      <c r="C28" s="3">
        <v>10</v>
      </c>
      <c r="D28" s="17">
        <f t="shared" si="3"/>
        <v>64586.272599547614</v>
      </c>
      <c r="E28" s="17"/>
      <c r="F28" s="17">
        <f t="shared" si="4"/>
        <v>65238.659191462233</v>
      </c>
      <c r="G28" s="17"/>
      <c r="H28" s="17">
        <f t="shared" si="5"/>
        <v>67195.818967206098</v>
      </c>
      <c r="I28" s="17"/>
      <c r="J28" s="17">
        <f t="shared" si="6"/>
        <v>69211.693536222287</v>
      </c>
      <c r="K28" s="17"/>
    </row>
    <row r="29" spans="2:11">
      <c r="C29" s="3">
        <v>4</v>
      </c>
      <c r="D29" s="17">
        <f>D28*1.03</f>
        <v>66523.86077753405</v>
      </c>
      <c r="E29" s="17"/>
      <c r="F29" s="17">
        <f>F28*1.03</f>
        <v>67195.818967206098</v>
      </c>
      <c r="G29" s="17"/>
      <c r="H29" s="17">
        <f t="shared" ref="H29:H35" si="7">F29*1.03</f>
        <v>69211.693536222287</v>
      </c>
      <c r="I29" s="17"/>
      <c r="J29" s="17">
        <f t="shared" ref="J29:J35" si="8">H29*1.03</f>
        <v>71288.04434230896</v>
      </c>
      <c r="K29" s="17"/>
    </row>
    <row r="30" spans="2:11">
      <c r="C30" s="3">
        <v>5</v>
      </c>
      <c r="D30" s="17">
        <f t="shared" si="3"/>
        <v>68519.576600860077</v>
      </c>
      <c r="E30" s="17"/>
      <c r="F30" s="17">
        <f t="shared" si="4"/>
        <v>69211.693536222287</v>
      </c>
      <c r="G30" s="17"/>
      <c r="H30" s="17">
        <f t="shared" si="7"/>
        <v>71288.04434230896</v>
      </c>
      <c r="I30" s="17"/>
      <c r="J30" s="17">
        <f t="shared" si="8"/>
        <v>73426.685672578227</v>
      </c>
      <c r="K30" s="17"/>
    </row>
    <row r="31" spans="2:11">
      <c r="C31" s="3">
        <v>6</v>
      </c>
      <c r="D31" s="17">
        <f t="shared" si="3"/>
        <v>70575.163898885876</v>
      </c>
      <c r="E31" s="17"/>
      <c r="F31" s="17">
        <f t="shared" si="4"/>
        <v>71288.04434230896</v>
      </c>
      <c r="G31" s="17"/>
      <c r="H31" s="17">
        <f t="shared" si="7"/>
        <v>73426.685672578227</v>
      </c>
      <c r="I31" s="17"/>
      <c r="J31" s="17">
        <f t="shared" si="8"/>
        <v>75629.486242755578</v>
      </c>
      <c r="K31" s="17"/>
    </row>
    <row r="32" spans="2:11">
      <c r="C32" s="3">
        <v>7</v>
      </c>
      <c r="D32" s="17">
        <f t="shared" si="3"/>
        <v>72692.418815852448</v>
      </c>
      <c r="E32" s="17"/>
      <c r="F32" s="17">
        <f t="shared" si="4"/>
        <v>73426.685672578227</v>
      </c>
      <c r="G32" s="17"/>
      <c r="H32" s="17">
        <f t="shared" si="7"/>
        <v>75629.486242755578</v>
      </c>
      <c r="I32" s="17"/>
      <c r="J32" s="17">
        <f t="shared" si="8"/>
        <v>77898.370830038242</v>
      </c>
      <c r="K32" s="17"/>
    </row>
    <row r="33" spans="1:11">
      <c r="C33" s="3">
        <v>8</v>
      </c>
      <c r="D33" s="17">
        <f t="shared" si="3"/>
        <v>74873.191380328019</v>
      </c>
      <c r="E33" s="17"/>
      <c r="F33" s="17">
        <f t="shared" si="4"/>
        <v>75629.486242755578</v>
      </c>
      <c r="G33" s="17"/>
      <c r="H33" s="17">
        <f t="shared" si="7"/>
        <v>77898.370830038242</v>
      </c>
      <c r="I33" s="17"/>
      <c r="J33" s="17">
        <f t="shared" si="8"/>
        <v>80235.321954939398</v>
      </c>
      <c r="K33" s="17"/>
    </row>
    <row r="34" spans="1:11">
      <c r="C34" s="3">
        <v>9</v>
      </c>
      <c r="D34" s="17">
        <f t="shared" si="3"/>
        <v>77119.387121737862</v>
      </c>
      <c r="E34" s="17"/>
      <c r="F34" s="17">
        <f t="shared" si="4"/>
        <v>77898.370830038242</v>
      </c>
      <c r="G34" s="17"/>
      <c r="H34" s="17">
        <f t="shared" si="7"/>
        <v>80235.321954939398</v>
      </c>
      <c r="I34" s="17"/>
      <c r="J34" s="17">
        <f t="shared" si="8"/>
        <v>82642.381613587582</v>
      </c>
      <c r="K34" s="17"/>
    </row>
    <row r="35" spans="1:11">
      <c r="C35" s="3">
        <v>10</v>
      </c>
      <c r="D35" s="17">
        <f t="shared" si="3"/>
        <v>79432.968735389994</v>
      </c>
      <c r="E35" s="17"/>
      <c r="F35" s="17">
        <f t="shared" si="4"/>
        <v>80235.321954939398</v>
      </c>
      <c r="G35" s="17"/>
      <c r="H35" s="17">
        <f t="shared" si="7"/>
        <v>82642.381613587582</v>
      </c>
      <c r="I35" s="17"/>
      <c r="J35" s="17">
        <f t="shared" si="8"/>
        <v>85121.65306199521</v>
      </c>
      <c r="K35" s="17"/>
    </row>
    <row r="36" spans="1:11">
      <c r="D36" s="17"/>
      <c r="E36" s="17"/>
      <c r="F36" s="17"/>
      <c r="G36" s="17"/>
      <c r="H36" s="17"/>
      <c r="I36" s="17"/>
      <c r="J36" s="17"/>
      <c r="K36" s="17"/>
    </row>
    <row r="37" spans="1:11">
      <c r="D37" s="17"/>
      <c r="E37" s="17"/>
      <c r="F37" s="17"/>
      <c r="G37" s="17"/>
      <c r="H37" s="17"/>
      <c r="I37" s="17"/>
      <c r="J37" s="17"/>
      <c r="K37" s="17"/>
    </row>
    <row r="38" spans="1:11">
      <c r="A38" s="3" t="s">
        <v>117</v>
      </c>
      <c r="D38" s="17"/>
      <c r="E38" s="17"/>
      <c r="F38" s="17"/>
      <c r="G38" s="17"/>
      <c r="H38" s="17"/>
      <c r="I38" s="17"/>
      <c r="J38" s="17"/>
      <c r="K38" s="17"/>
    </row>
    <row r="39" spans="1:11">
      <c r="C39" s="3" t="s">
        <v>109</v>
      </c>
      <c r="D39" s="17"/>
      <c r="E39" s="17"/>
      <c r="F39" s="17"/>
      <c r="G39" s="17"/>
      <c r="H39" s="17"/>
      <c r="I39" s="17"/>
      <c r="J39" s="17"/>
      <c r="K39" s="17"/>
    </row>
    <row r="40" spans="1:11">
      <c r="B40" s="3" t="str">
        <f>B18</f>
        <v>Level</v>
      </c>
      <c r="D40" s="17" t="s">
        <v>118</v>
      </c>
      <c r="E40" s="17"/>
      <c r="F40" s="17" t="s">
        <v>115</v>
      </c>
      <c r="G40" s="17"/>
      <c r="H40" s="17" t="s">
        <v>116</v>
      </c>
      <c r="I40" s="17"/>
      <c r="J40" s="17"/>
      <c r="K40" s="17"/>
    </row>
    <row r="41" spans="1:11">
      <c r="C41" s="3">
        <v>1</v>
      </c>
      <c r="D41" s="17">
        <f>38000*0.99</f>
        <v>37620</v>
      </c>
      <c r="E41" s="17"/>
      <c r="F41" s="17">
        <f>D41+1000</f>
        <v>38620</v>
      </c>
      <c r="G41" s="17"/>
      <c r="H41" s="17">
        <f>F41+1000</f>
        <v>39620</v>
      </c>
      <c r="I41" s="17"/>
      <c r="J41" s="17"/>
      <c r="K41" s="17"/>
    </row>
    <row r="42" spans="1:11">
      <c r="C42" s="3">
        <v>2</v>
      </c>
      <c r="D42" s="17">
        <f t="shared" ref="D42:D50" si="9">D41*1.03</f>
        <v>38748.6</v>
      </c>
      <c r="E42" s="17"/>
      <c r="F42" s="17">
        <f t="shared" ref="F42:F50" si="10">F41*1.03</f>
        <v>39778.6</v>
      </c>
      <c r="G42" s="17"/>
      <c r="H42" s="17">
        <f t="shared" ref="H42:H50" si="11">F42*1.03</f>
        <v>40971.957999999999</v>
      </c>
      <c r="I42" s="17"/>
      <c r="J42" s="17"/>
      <c r="K42" s="17"/>
    </row>
    <row r="43" spans="1:11">
      <c r="C43" s="3">
        <v>3</v>
      </c>
      <c r="D43" s="17">
        <f t="shared" si="9"/>
        <v>39911.057999999997</v>
      </c>
      <c r="E43" s="17"/>
      <c r="F43" s="17">
        <f t="shared" si="10"/>
        <v>40971.957999999999</v>
      </c>
      <c r="G43" s="17"/>
      <c r="H43" s="17">
        <f t="shared" si="11"/>
        <v>42201.116739999998</v>
      </c>
      <c r="I43" s="17"/>
      <c r="J43" s="17"/>
      <c r="K43" s="17"/>
    </row>
    <row r="44" spans="1:11">
      <c r="C44" s="3">
        <v>4</v>
      </c>
      <c r="D44" s="17">
        <f t="shared" si="9"/>
        <v>41108.389739999999</v>
      </c>
      <c r="E44" s="17"/>
      <c r="F44" s="17">
        <f t="shared" si="10"/>
        <v>42201.116739999998</v>
      </c>
      <c r="G44" s="17"/>
      <c r="H44" s="17">
        <f t="shared" si="11"/>
        <v>43467.150242199998</v>
      </c>
      <c r="I44" s="17"/>
      <c r="J44" s="17"/>
      <c r="K44" s="17"/>
    </row>
    <row r="45" spans="1:11">
      <c r="C45" s="3">
        <v>5</v>
      </c>
      <c r="D45" s="17">
        <f t="shared" si="9"/>
        <v>42341.641432199998</v>
      </c>
      <c r="E45" s="17"/>
      <c r="F45" s="17">
        <f t="shared" si="10"/>
        <v>43467.150242199998</v>
      </c>
      <c r="G45" s="17"/>
      <c r="H45" s="17">
        <f t="shared" si="11"/>
        <v>44771.164749465999</v>
      </c>
      <c r="I45" s="17"/>
      <c r="J45" s="17"/>
      <c r="K45" s="17"/>
    </row>
    <row r="46" spans="1:11">
      <c r="C46" s="3">
        <v>6</v>
      </c>
      <c r="D46" s="17">
        <f t="shared" si="9"/>
        <v>43611.890675165996</v>
      </c>
      <c r="E46" s="17"/>
      <c r="F46" s="17">
        <f t="shared" si="10"/>
        <v>44771.164749465999</v>
      </c>
      <c r="G46" s="17"/>
      <c r="H46" s="17">
        <f t="shared" si="11"/>
        <v>46114.299691949978</v>
      </c>
      <c r="I46" s="17"/>
      <c r="J46" s="17"/>
      <c r="K46" s="17"/>
    </row>
    <row r="47" spans="1:11">
      <c r="C47" s="3">
        <v>7</v>
      </c>
      <c r="D47" s="17">
        <f t="shared" si="9"/>
        <v>44920.247395420978</v>
      </c>
      <c r="E47" s="17"/>
      <c r="F47" s="17">
        <f t="shared" si="10"/>
        <v>46114.299691949978</v>
      </c>
      <c r="G47" s="17"/>
      <c r="H47" s="17">
        <f t="shared" si="11"/>
        <v>47497.728682708475</v>
      </c>
      <c r="I47" s="17"/>
      <c r="J47" s="17"/>
      <c r="K47" s="17"/>
    </row>
    <row r="48" spans="1:11">
      <c r="C48" s="3">
        <v>8</v>
      </c>
      <c r="D48" s="17">
        <f t="shared" si="9"/>
        <v>46267.854817283609</v>
      </c>
      <c r="E48" s="17"/>
      <c r="F48" s="17">
        <f t="shared" si="10"/>
        <v>47497.728682708475</v>
      </c>
      <c r="G48" s="17"/>
      <c r="H48" s="17">
        <f t="shared" si="11"/>
        <v>48922.660543189733</v>
      </c>
      <c r="I48" s="17"/>
      <c r="J48" s="17"/>
      <c r="K48" s="17"/>
    </row>
    <row r="49" spans="1:11">
      <c r="C49" s="3">
        <v>9</v>
      </c>
      <c r="D49" s="17">
        <f t="shared" si="9"/>
        <v>47655.890461802119</v>
      </c>
      <c r="E49" s="17"/>
      <c r="F49" s="17">
        <f t="shared" si="10"/>
        <v>48922.660543189733</v>
      </c>
      <c r="G49" s="17"/>
      <c r="H49" s="17">
        <f t="shared" si="11"/>
        <v>50390.340359485424</v>
      </c>
      <c r="I49" s="17"/>
      <c r="J49" s="17"/>
      <c r="K49" s="17"/>
    </row>
    <row r="50" spans="1:11">
      <c r="C50" s="3">
        <v>10</v>
      </c>
      <c r="D50" s="17">
        <f t="shared" si="9"/>
        <v>49085.567175656186</v>
      </c>
      <c r="E50" s="17"/>
      <c r="F50" s="17">
        <f t="shared" si="10"/>
        <v>50390.340359485424</v>
      </c>
      <c r="G50" s="17"/>
      <c r="H50" s="17">
        <f t="shared" si="11"/>
        <v>51902.050570269988</v>
      </c>
      <c r="I50" s="17"/>
      <c r="J50" s="17"/>
      <c r="K50" s="17"/>
    </row>
    <row r="51" spans="1:11">
      <c r="D51" s="17"/>
      <c r="E51" s="17"/>
      <c r="F51" s="17"/>
      <c r="G51" s="17"/>
      <c r="H51" s="17"/>
      <c r="I51" s="17"/>
      <c r="J51" s="17"/>
      <c r="K51" s="17"/>
    </row>
    <row r="52" spans="1:11">
      <c r="A52" s="3" t="s">
        <v>119</v>
      </c>
      <c r="D52" s="17"/>
      <c r="E52" s="17"/>
      <c r="F52" s="17"/>
      <c r="G52" s="17"/>
      <c r="H52" s="17"/>
      <c r="I52" s="17"/>
      <c r="J52" s="17"/>
      <c r="K52" s="17"/>
    </row>
    <row r="53" spans="1:11">
      <c r="C53" s="3" t="s">
        <v>109</v>
      </c>
      <c r="D53" s="17"/>
      <c r="E53" s="17"/>
      <c r="F53" s="17"/>
      <c r="G53" s="17"/>
      <c r="H53" s="17"/>
      <c r="I53" s="17"/>
      <c r="J53" s="17"/>
      <c r="K53" s="17"/>
    </row>
    <row r="54" spans="1:11">
      <c r="B54" s="3" t="str">
        <f>B18</f>
        <v>Level</v>
      </c>
      <c r="D54" s="17" t="s">
        <v>115</v>
      </c>
      <c r="E54" s="17"/>
      <c r="F54" s="17" t="s">
        <v>116</v>
      </c>
      <c r="G54" s="17"/>
      <c r="H54" s="17" t="s">
        <v>112</v>
      </c>
      <c r="I54" s="17"/>
      <c r="J54" s="17" t="s">
        <v>113</v>
      </c>
      <c r="K54" s="17"/>
    </row>
    <row r="55" spans="1:11">
      <c r="C55" s="3">
        <v>1</v>
      </c>
      <c r="D55" s="17">
        <f>38000*0.99</f>
        <v>37620</v>
      </c>
      <c r="E55" s="17"/>
      <c r="F55" s="17">
        <f>D55+500</f>
        <v>38120</v>
      </c>
      <c r="G55" s="17"/>
      <c r="H55" s="17">
        <f>F55+500</f>
        <v>38620</v>
      </c>
      <c r="I55" s="17"/>
      <c r="J55" s="17">
        <f>H55+750</f>
        <v>39370</v>
      </c>
      <c r="K55" s="17"/>
    </row>
    <row r="56" spans="1:11">
      <c r="C56" s="3">
        <v>2</v>
      </c>
      <c r="D56" s="17">
        <f t="shared" ref="D56:D76" si="12">D55*1.03</f>
        <v>38748.6</v>
      </c>
      <c r="E56" s="17"/>
      <c r="F56" s="17">
        <f t="shared" ref="F56:F76" si="13">F55*1.03</f>
        <v>39263.599999999999</v>
      </c>
      <c r="G56" s="17"/>
      <c r="H56" s="17">
        <f t="shared" ref="H56:H64" si="14">F56*1.03</f>
        <v>40441.508000000002</v>
      </c>
      <c r="I56" s="17"/>
      <c r="J56" s="17">
        <f t="shared" ref="J56:J64" si="15">H56*1.03</f>
        <v>41654.753240000005</v>
      </c>
      <c r="K56" s="17"/>
    </row>
    <row r="57" spans="1:11">
      <c r="C57" s="3">
        <v>3</v>
      </c>
      <c r="D57" s="17">
        <f t="shared" si="12"/>
        <v>39911.057999999997</v>
      </c>
      <c r="E57" s="17"/>
      <c r="F57" s="17">
        <f t="shared" si="13"/>
        <v>40441.508000000002</v>
      </c>
      <c r="G57" s="17"/>
      <c r="H57" s="17">
        <f t="shared" si="14"/>
        <v>41654.753240000005</v>
      </c>
      <c r="I57" s="17"/>
      <c r="J57" s="17">
        <f t="shared" si="15"/>
        <v>42904.395837200005</v>
      </c>
      <c r="K57" s="17"/>
    </row>
    <row r="58" spans="1:11">
      <c r="C58" s="3">
        <v>4</v>
      </c>
      <c r="D58" s="17">
        <f t="shared" si="12"/>
        <v>41108.389739999999</v>
      </c>
      <c r="E58" s="17"/>
      <c r="F58" s="17">
        <f t="shared" si="13"/>
        <v>41654.753240000005</v>
      </c>
      <c r="G58" s="17"/>
      <c r="H58" s="17">
        <f t="shared" si="14"/>
        <v>42904.395837200005</v>
      </c>
      <c r="I58" s="17"/>
      <c r="J58" s="17">
        <f t="shared" si="15"/>
        <v>44191.527712316005</v>
      </c>
      <c r="K58" s="17"/>
    </row>
    <row r="59" spans="1:11">
      <c r="C59" s="3">
        <v>5</v>
      </c>
      <c r="D59" s="17">
        <f t="shared" si="12"/>
        <v>42341.641432199998</v>
      </c>
      <c r="E59" s="17"/>
      <c r="F59" s="17">
        <f t="shared" si="13"/>
        <v>42904.395837200005</v>
      </c>
      <c r="G59" s="17"/>
      <c r="H59" s="17">
        <f t="shared" si="14"/>
        <v>44191.527712316005</v>
      </c>
      <c r="I59" s="17"/>
      <c r="J59" s="17">
        <f t="shared" si="15"/>
        <v>45517.273543685485</v>
      </c>
      <c r="K59" s="17"/>
    </row>
    <row r="60" spans="1:11">
      <c r="C60" s="3">
        <v>6</v>
      </c>
      <c r="D60" s="17">
        <f t="shared" si="12"/>
        <v>43611.890675165996</v>
      </c>
      <c r="E60" s="17"/>
      <c r="F60" s="17">
        <f t="shared" si="13"/>
        <v>44191.527712316005</v>
      </c>
      <c r="G60" s="17"/>
      <c r="H60" s="17">
        <f t="shared" si="14"/>
        <v>45517.273543685485</v>
      </c>
      <c r="I60" s="17"/>
      <c r="J60" s="17">
        <f t="shared" si="15"/>
        <v>46882.791749996053</v>
      </c>
      <c r="K60" s="17"/>
    </row>
    <row r="61" spans="1:11">
      <c r="C61" s="3">
        <v>7</v>
      </c>
      <c r="D61" s="17">
        <f t="shared" si="12"/>
        <v>44920.247395420978</v>
      </c>
      <c r="E61" s="17"/>
      <c r="F61" s="17">
        <f t="shared" si="13"/>
        <v>45517.273543685485</v>
      </c>
      <c r="G61" s="17"/>
      <c r="H61" s="17">
        <f t="shared" si="14"/>
        <v>46882.791749996053</v>
      </c>
      <c r="I61" s="17"/>
      <c r="J61" s="17">
        <f t="shared" si="15"/>
        <v>48289.275502495933</v>
      </c>
      <c r="K61" s="17"/>
    </row>
    <row r="62" spans="1:11">
      <c r="C62" s="3">
        <v>8</v>
      </c>
      <c r="D62" s="17">
        <f t="shared" si="12"/>
        <v>46267.854817283609</v>
      </c>
      <c r="E62" s="17"/>
      <c r="F62" s="17">
        <f t="shared" si="13"/>
        <v>46882.791749996053</v>
      </c>
      <c r="G62" s="17"/>
      <c r="H62" s="17">
        <f t="shared" si="14"/>
        <v>48289.275502495933</v>
      </c>
      <c r="I62" s="17"/>
      <c r="J62" s="17">
        <f t="shared" si="15"/>
        <v>49737.953767570812</v>
      </c>
      <c r="K62" s="17"/>
    </row>
    <row r="63" spans="1:11">
      <c r="C63" s="3">
        <v>9</v>
      </c>
      <c r="D63" s="17">
        <f t="shared" si="12"/>
        <v>47655.890461802119</v>
      </c>
      <c r="E63" s="17"/>
      <c r="F63" s="17">
        <f t="shared" si="13"/>
        <v>48289.275502495933</v>
      </c>
      <c r="G63" s="17"/>
      <c r="H63" s="17">
        <f t="shared" si="14"/>
        <v>49737.953767570812</v>
      </c>
      <c r="I63" s="17"/>
      <c r="J63" s="17">
        <f t="shared" si="15"/>
        <v>51230.09238059794</v>
      </c>
      <c r="K63" s="17"/>
    </row>
    <row r="64" spans="1:11">
      <c r="C64" s="3">
        <v>10</v>
      </c>
      <c r="D64" s="17">
        <f t="shared" si="12"/>
        <v>49085.567175656186</v>
      </c>
      <c r="E64" s="17"/>
      <c r="F64" s="17">
        <f t="shared" si="13"/>
        <v>49737.953767570812</v>
      </c>
      <c r="G64" s="17"/>
      <c r="H64" s="17">
        <f t="shared" si="14"/>
        <v>51230.09238059794</v>
      </c>
      <c r="I64" s="17"/>
      <c r="J64" s="17">
        <f t="shared" si="15"/>
        <v>52766.995152015879</v>
      </c>
      <c r="K64" s="17"/>
    </row>
    <row r="65" spans="1:11">
      <c r="C65" s="3">
        <v>11</v>
      </c>
      <c r="D65" s="17">
        <f t="shared" si="12"/>
        <v>50558.13419092587</v>
      </c>
      <c r="E65" s="17"/>
      <c r="F65" s="17">
        <f t="shared" si="13"/>
        <v>51230.09238059794</v>
      </c>
      <c r="G65" s="17"/>
      <c r="H65" s="17">
        <f t="shared" ref="H65:H76" si="16">F65*1.03</f>
        <v>52766.995152015879</v>
      </c>
      <c r="I65" s="17"/>
      <c r="J65" s="17">
        <f t="shared" ref="J65:J76" si="17">H65*1.03</f>
        <v>54350.005006576357</v>
      </c>
      <c r="K65" s="17"/>
    </row>
    <row r="66" spans="1:11">
      <c r="C66" s="3">
        <v>12</v>
      </c>
      <c r="D66" s="17">
        <f t="shared" si="12"/>
        <v>52074.878216653648</v>
      </c>
      <c r="E66" s="17"/>
      <c r="F66" s="17">
        <f t="shared" si="13"/>
        <v>52766.995152015879</v>
      </c>
      <c r="G66" s="17"/>
      <c r="H66" s="17">
        <f t="shared" si="16"/>
        <v>54350.005006576357</v>
      </c>
      <c r="I66" s="17"/>
      <c r="J66" s="17">
        <f t="shared" si="17"/>
        <v>55980.505156773652</v>
      </c>
      <c r="K66" s="17"/>
    </row>
    <row r="67" spans="1:11">
      <c r="C67" s="3">
        <v>13</v>
      </c>
      <c r="D67" s="17">
        <f t="shared" si="12"/>
        <v>53637.124563153258</v>
      </c>
      <c r="E67" s="17"/>
      <c r="F67" s="17">
        <f t="shared" si="13"/>
        <v>54350.005006576357</v>
      </c>
      <c r="G67" s="17"/>
      <c r="H67" s="17">
        <f t="shared" si="16"/>
        <v>55980.505156773652</v>
      </c>
      <c r="I67" s="17"/>
      <c r="J67" s="17">
        <f t="shared" si="17"/>
        <v>57659.920311476861</v>
      </c>
      <c r="K67" s="17"/>
    </row>
    <row r="68" spans="1:11">
      <c r="C68" s="3">
        <v>14</v>
      </c>
      <c r="D68" s="17">
        <f t="shared" si="12"/>
        <v>55246.238300047859</v>
      </c>
      <c r="E68" s="17"/>
      <c r="F68" s="17">
        <f t="shared" si="13"/>
        <v>55980.505156773652</v>
      </c>
      <c r="G68" s="17"/>
      <c r="H68" s="17">
        <f t="shared" si="16"/>
        <v>57659.920311476861</v>
      </c>
      <c r="I68" s="17"/>
      <c r="J68" s="17">
        <f t="shared" si="17"/>
        <v>59389.717920821167</v>
      </c>
      <c r="K68" s="17"/>
    </row>
    <row r="69" spans="1:11">
      <c r="C69" s="3">
        <v>15</v>
      </c>
      <c r="D69" s="17">
        <f t="shared" si="12"/>
        <v>56903.625449049294</v>
      </c>
      <c r="E69" s="17"/>
      <c r="F69" s="17">
        <f t="shared" si="13"/>
        <v>57659.920311476861</v>
      </c>
      <c r="G69" s="17"/>
      <c r="H69" s="17">
        <f t="shared" si="16"/>
        <v>59389.717920821167</v>
      </c>
      <c r="I69" s="17"/>
      <c r="J69" s="17">
        <f t="shared" si="17"/>
        <v>61171.409458445807</v>
      </c>
      <c r="K69" s="17"/>
    </row>
    <row r="70" spans="1:11">
      <c r="C70" s="3">
        <v>16</v>
      </c>
      <c r="D70" s="17">
        <f t="shared" si="12"/>
        <v>58610.734212520772</v>
      </c>
      <c r="E70" s="17"/>
      <c r="F70" s="17">
        <f t="shared" si="13"/>
        <v>59389.717920821167</v>
      </c>
      <c r="G70" s="17"/>
      <c r="H70" s="17">
        <f t="shared" si="16"/>
        <v>61171.409458445807</v>
      </c>
      <c r="I70" s="17"/>
      <c r="J70" s="17">
        <f t="shared" si="17"/>
        <v>63006.551742199183</v>
      </c>
      <c r="K70" s="17"/>
    </row>
    <row r="71" spans="1:11">
      <c r="C71" s="3">
        <v>17</v>
      </c>
      <c r="D71" s="17">
        <f t="shared" si="12"/>
        <v>60369.056238896395</v>
      </c>
      <c r="E71" s="17"/>
      <c r="F71" s="17">
        <f t="shared" si="13"/>
        <v>61171.409458445807</v>
      </c>
      <c r="G71" s="17"/>
      <c r="H71" s="17">
        <f t="shared" si="16"/>
        <v>63006.551742199183</v>
      </c>
      <c r="I71" s="17"/>
      <c r="J71" s="17">
        <f t="shared" si="17"/>
        <v>64896.748294465157</v>
      </c>
      <c r="K71" s="17"/>
    </row>
    <row r="72" spans="1:11">
      <c r="C72" s="3">
        <v>18</v>
      </c>
      <c r="D72" s="17">
        <f t="shared" si="12"/>
        <v>62180.127926063287</v>
      </c>
      <c r="E72" s="17"/>
      <c r="F72" s="17">
        <f t="shared" si="13"/>
        <v>63006.551742199183</v>
      </c>
      <c r="G72" s="17"/>
      <c r="H72" s="17">
        <f t="shared" si="16"/>
        <v>64896.748294465157</v>
      </c>
      <c r="I72" s="17"/>
      <c r="J72" s="17">
        <f t="shared" si="17"/>
        <v>66843.650743299106</v>
      </c>
      <c r="K72" s="17"/>
    </row>
    <row r="73" spans="1:11">
      <c r="C73" s="3">
        <v>19</v>
      </c>
      <c r="D73" s="17">
        <f t="shared" si="12"/>
        <v>64045.531763845189</v>
      </c>
      <c r="E73" s="17"/>
      <c r="F73" s="17">
        <f t="shared" si="13"/>
        <v>64896.748294465157</v>
      </c>
      <c r="G73" s="17"/>
      <c r="H73" s="17">
        <f t="shared" si="16"/>
        <v>66843.650743299106</v>
      </c>
      <c r="I73" s="17"/>
      <c r="J73" s="17">
        <f t="shared" si="17"/>
        <v>68848.960265598085</v>
      </c>
      <c r="K73" s="17"/>
    </row>
    <row r="74" spans="1:11">
      <c r="C74" s="3">
        <v>20</v>
      </c>
      <c r="D74" s="17">
        <f t="shared" si="12"/>
        <v>65966.897716760548</v>
      </c>
      <c r="E74" s="17"/>
      <c r="F74" s="17">
        <f t="shared" si="13"/>
        <v>66843.650743299106</v>
      </c>
      <c r="G74" s="17"/>
      <c r="H74" s="17">
        <f t="shared" si="16"/>
        <v>68848.960265598085</v>
      </c>
      <c r="I74" s="17"/>
      <c r="J74" s="17">
        <f t="shared" si="17"/>
        <v>70914.429073566032</v>
      </c>
      <c r="K74" s="17"/>
    </row>
    <row r="75" spans="1:11">
      <c r="C75" s="3">
        <v>21</v>
      </c>
      <c r="D75" s="17">
        <f t="shared" si="12"/>
        <v>67945.904648263371</v>
      </c>
      <c r="E75" s="17"/>
      <c r="F75" s="17">
        <f t="shared" si="13"/>
        <v>68848.960265598085</v>
      </c>
      <c r="G75" s="17"/>
      <c r="H75" s="17">
        <f t="shared" si="16"/>
        <v>70914.429073566032</v>
      </c>
      <c r="I75" s="17"/>
      <c r="J75" s="17">
        <f t="shared" si="17"/>
        <v>73041.861945773009</v>
      </c>
      <c r="K75" s="17"/>
    </row>
    <row r="76" spans="1:11">
      <c r="C76" s="3">
        <v>22</v>
      </c>
      <c r="D76" s="17">
        <f t="shared" si="12"/>
        <v>69984.281787711268</v>
      </c>
      <c r="E76" s="17"/>
      <c r="F76" s="17">
        <f t="shared" si="13"/>
        <v>70914.429073566032</v>
      </c>
      <c r="G76" s="17"/>
      <c r="H76" s="17">
        <f t="shared" si="16"/>
        <v>73041.861945773009</v>
      </c>
      <c r="I76" s="17"/>
      <c r="J76" s="17">
        <f t="shared" si="17"/>
        <v>75233.117804146197</v>
      </c>
      <c r="K76" s="17"/>
    </row>
    <row r="77" spans="1:11">
      <c r="D77" s="17"/>
      <c r="E77" s="17"/>
      <c r="F77" s="17"/>
      <c r="G77" s="17"/>
      <c r="H77" s="17"/>
      <c r="I77" s="17"/>
      <c r="J77" s="17"/>
      <c r="K77" s="17"/>
    </row>
    <row r="78" spans="1:11">
      <c r="A78" s="22" t="s">
        <v>398</v>
      </c>
      <c r="D78" s="17"/>
      <c r="E78" s="17"/>
      <c r="F78" s="17"/>
      <c r="G78" s="17"/>
      <c r="H78" s="17"/>
      <c r="I78" s="17"/>
      <c r="J78" s="17"/>
      <c r="K78" s="17"/>
    </row>
    <row r="79" spans="1:11">
      <c r="C79" s="3" t="s">
        <v>109</v>
      </c>
      <c r="D79" s="17"/>
      <c r="E79" s="17"/>
      <c r="F79" s="17"/>
      <c r="G79" s="17"/>
      <c r="H79" s="17"/>
      <c r="I79" s="17"/>
      <c r="J79" s="17"/>
      <c r="K79" s="17"/>
    </row>
    <row r="80" spans="1:11">
      <c r="B80" s="3" t="str">
        <f>B54</f>
        <v>Level</v>
      </c>
      <c r="D80" s="17" t="s">
        <v>115</v>
      </c>
      <c r="E80" s="17"/>
      <c r="F80" s="17" t="s">
        <v>116</v>
      </c>
      <c r="G80" s="17"/>
      <c r="H80" s="17" t="s">
        <v>112</v>
      </c>
      <c r="I80" s="17"/>
      <c r="J80" s="17" t="s">
        <v>113</v>
      </c>
      <c r="K80" s="17"/>
    </row>
    <row r="81" spans="1:11">
      <c r="C81" s="3">
        <v>1</v>
      </c>
      <c r="D81" s="17">
        <f>36000</f>
        <v>36000</v>
      </c>
      <c r="E81" s="17"/>
      <c r="F81" s="17">
        <f>D81+500</f>
        <v>36500</v>
      </c>
      <c r="G81" s="17"/>
      <c r="H81" s="17">
        <f>F81+500</f>
        <v>37000</v>
      </c>
      <c r="I81" s="17"/>
      <c r="J81" s="17">
        <f>H81+750</f>
        <v>37750</v>
      </c>
      <c r="K81" s="17"/>
    </row>
    <row r="82" spans="1:11">
      <c r="C82" s="3">
        <v>2</v>
      </c>
      <c r="D82" s="17">
        <f t="shared" ref="D82:D90" si="18">D81*1.03</f>
        <v>37080</v>
      </c>
      <c r="E82" s="17"/>
      <c r="F82" s="17">
        <f t="shared" ref="F82:F90" si="19">F81*1.03</f>
        <v>37595</v>
      </c>
      <c r="G82" s="17"/>
      <c r="H82" s="17">
        <f t="shared" ref="H82:H90" si="20">F82*1.03</f>
        <v>38722.85</v>
      </c>
      <c r="I82" s="17"/>
      <c r="J82" s="17">
        <f t="shared" ref="J82:J90" si="21">H82*1.03</f>
        <v>39884.535499999998</v>
      </c>
      <c r="K82" s="17"/>
    </row>
    <row r="83" spans="1:11">
      <c r="C83" s="3">
        <v>3</v>
      </c>
      <c r="D83" s="17">
        <f t="shared" si="18"/>
        <v>38192.400000000001</v>
      </c>
      <c r="E83" s="17"/>
      <c r="F83" s="17">
        <f t="shared" si="19"/>
        <v>38722.85</v>
      </c>
      <c r="G83" s="17"/>
      <c r="H83" s="17">
        <f t="shared" si="20"/>
        <v>39884.535499999998</v>
      </c>
      <c r="I83" s="17"/>
      <c r="J83" s="17">
        <f t="shared" si="21"/>
        <v>41081.071564999998</v>
      </c>
      <c r="K83" s="17"/>
    </row>
    <row r="84" spans="1:11">
      <c r="C84" s="3">
        <v>4</v>
      </c>
      <c r="D84" s="17">
        <f t="shared" si="18"/>
        <v>39338.172000000006</v>
      </c>
      <c r="E84" s="17"/>
      <c r="F84" s="17">
        <f t="shared" si="19"/>
        <v>39884.535499999998</v>
      </c>
      <c r="G84" s="17"/>
      <c r="H84" s="17">
        <f t="shared" si="20"/>
        <v>41081.071564999998</v>
      </c>
      <c r="I84" s="17"/>
      <c r="J84" s="17">
        <f t="shared" si="21"/>
        <v>42313.503711949998</v>
      </c>
      <c r="K84" s="17"/>
    </row>
    <row r="85" spans="1:11">
      <c r="C85" s="3">
        <v>5</v>
      </c>
      <c r="D85" s="17">
        <f t="shared" si="18"/>
        <v>40518.317160000006</v>
      </c>
      <c r="E85" s="17"/>
      <c r="F85" s="17">
        <f t="shared" si="19"/>
        <v>41081.071564999998</v>
      </c>
      <c r="G85" s="17"/>
      <c r="H85" s="17">
        <f t="shared" si="20"/>
        <v>42313.503711949998</v>
      </c>
      <c r="I85" s="17"/>
      <c r="J85" s="17">
        <f t="shared" si="21"/>
        <v>43582.908823308499</v>
      </c>
      <c r="K85" s="17"/>
    </row>
    <row r="86" spans="1:11" s="2" customFormat="1">
      <c r="C86" s="2">
        <v>6</v>
      </c>
      <c r="D86" s="18">
        <f t="shared" si="18"/>
        <v>41733.866674800011</v>
      </c>
      <c r="E86" s="18"/>
      <c r="F86" s="18">
        <f t="shared" si="19"/>
        <v>42313.503711949998</v>
      </c>
      <c r="G86" s="18"/>
      <c r="H86" s="18">
        <f t="shared" si="20"/>
        <v>43582.908823308499</v>
      </c>
      <c r="I86" s="18"/>
      <c r="J86" s="18">
        <f t="shared" si="21"/>
        <v>44890.396088007757</v>
      </c>
      <c r="K86" s="18"/>
    </row>
    <row r="87" spans="1:11">
      <c r="C87" s="3">
        <v>7</v>
      </c>
      <c r="D87" s="17">
        <f t="shared" si="18"/>
        <v>42985.882675044013</v>
      </c>
      <c r="E87" s="17"/>
      <c r="F87" s="17">
        <f t="shared" si="19"/>
        <v>43582.908823308499</v>
      </c>
      <c r="G87" s="17"/>
      <c r="H87" s="17">
        <f t="shared" si="20"/>
        <v>44890.396088007757</v>
      </c>
      <c r="I87" s="17"/>
      <c r="J87" s="17">
        <f t="shared" si="21"/>
        <v>46237.107970647994</v>
      </c>
      <c r="K87" s="17"/>
    </row>
    <row r="88" spans="1:11">
      <c r="C88" s="3">
        <v>8</v>
      </c>
      <c r="D88" s="17">
        <f t="shared" si="18"/>
        <v>44275.459155295335</v>
      </c>
      <c r="E88" s="17"/>
      <c r="F88" s="17">
        <f t="shared" si="19"/>
        <v>44890.396088007757</v>
      </c>
      <c r="G88" s="17"/>
      <c r="H88" s="17">
        <f t="shared" si="20"/>
        <v>46237.107970647994</v>
      </c>
      <c r="I88" s="17"/>
      <c r="J88" s="17">
        <f t="shared" si="21"/>
        <v>47624.221209767435</v>
      </c>
      <c r="K88" s="17"/>
    </row>
    <row r="89" spans="1:11">
      <c r="C89" s="3">
        <v>9</v>
      </c>
      <c r="D89" s="17">
        <f t="shared" si="18"/>
        <v>45603.722929954194</v>
      </c>
      <c r="E89" s="17"/>
      <c r="F89" s="17">
        <f t="shared" si="19"/>
        <v>46237.107970647994</v>
      </c>
      <c r="G89" s="17"/>
      <c r="H89" s="17">
        <f t="shared" si="20"/>
        <v>47624.221209767435</v>
      </c>
      <c r="I89" s="17"/>
      <c r="J89" s="17">
        <f t="shared" si="21"/>
        <v>49052.947846060459</v>
      </c>
      <c r="K89" s="17"/>
    </row>
    <row r="90" spans="1:11">
      <c r="C90" s="3">
        <v>10</v>
      </c>
      <c r="D90" s="17">
        <f t="shared" si="18"/>
        <v>46971.834617852823</v>
      </c>
      <c r="E90" s="17"/>
      <c r="F90" s="17">
        <f t="shared" si="19"/>
        <v>47624.221209767435</v>
      </c>
      <c r="G90" s="17"/>
      <c r="H90" s="17">
        <f t="shared" si="20"/>
        <v>49052.947846060459</v>
      </c>
      <c r="I90" s="17"/>
      <c r="J90" s="17">
        <f t="shared" si="21"/>
        <v>50524.536281442277</v>
      </c>
      <c r="K90" s="17"/>
    </row>
    <row r="91" spans="1:11">
      <c r="D91" s="17"/>
      <c r="E91" s="17"/>
      <c r="F91" s="17"/>
      <c r="G91" s="17"/>
      <c r="H91" s="17"/>
      <c r="I91" s="17"/>
      <c r="J91" s="17"/>
      <c r="K91" s="17"/>
    </row>
    <row r="92" spans="1:11">
      <c r="D92" s="17"/>
      <c r="E92" s="17"/>
      <c r="F92" s="17"/>
      <c r="G92" s="17"/>
      <c r="H92" s="17"/>
      <c r="I92" s="17"/>
      <c r="J92" s="17"/>
      <c r="K92" s="17"/>
    </row>
    <row r="93" spans="1:11">
      <c r="A93" s="3" t="s">
        <v>120</v>
      </c>
      <c r="D93" s="17"/>
      <c r="E93" s="17"/>
      <c r="F93" s="17"/>
      <c r="G93" s="17"/>
      <c r="H93" s="17"/>
      <c r="I93" s="17"/>
      <c r="J93" s="17"/>
      <c r="K93" s="17"/>
    </row>
    <row r="94" spans="1:11">
      <c r="C94" s="3" t="s">
        <v>109</v>
      </c>
      <c r="D94" s="17"/>
      <c r="E94" s="17"/>
      <c r="F94" s="17"/>
      <c r="G94" s="17"/>
      <c r="H94" s="17"/>
      <c r="I94" s="17"/>
      <c r="J94" s="17"/>
      <c r="K94" s="17"/>
    </row>
    <row r="95" spans="1:11">
      <c r="B95" s="3" t="str">
        <f>B80</f>
        <v>Level</v>
      </c>
      <c r="D95" s="17" t="s">
        <v>115</v>
      </c>
      <c r="E95" s="17"/>
      <c r="F95" s="17" t="s">
        <v>116</v>
      </c>
      <c r="G95" s="17"/>
      <c r="H95" s="17" t="s">
        <v>112</v>
      </c>
      <c r="I95" s="17"/>
      <c r="J95" s="17" t="s">
        <v>113</v>
      </c>
      <c r="K95" s="17"/>
    </row>
    <row r="96" spans="1:11">
      <c r="C96" s="3">
        <v>1</v>
      </c>
      <c r="D96" s="17">
        <f>46000*0.99</f>
        <v>45540</v>
      </c>
      <c r="E96" s="17"/>
      <c r="F96" s="17">
        <f>D96+1000</f>
        <v>46540</v>
      </c>
      <c r="G96" s="17"/>
      <c r="H96" s="17">
        <f>F96+500</f>
        <v>47040</v>
      </c>
      <c r="I96" s="17"/>
      <c r="J96" s="17">
        <f>H96+750</f>
        <v>47790</v>
      </c>
      <c r="K96" s="17"/>
    </row>
    <row r="97" spans="3:11">
      <c r="C97" s="3">
        <v>2</v>
      </c>
      <c r="D97" s="17">
        <f t="shared" ref="D97:D110" si="22">D96*1.03</f>
        <v>46906.200000000004</v>
      </c>
      <c r="E97" s="17"/>
      <c r="F97" s="17">
        <f t="shared" ref="F97:F105" si="23">D97*1.03</f>
        <v>48313.386000000006</v>
      </c>
      <c r="G97" s="17"/>
      <c r="H97" s="17">
        <f t="shared" ref="H97:H105" si="24">F97*1.03</f>
        <v>49762.787580000004</v>
      </c>
      <c r="I97" s="17"/>
      <c r="J97" s="17">
        <f t="shared" ref="J97:J105" si="25">H97*1.03</f>
        <v>51255.671207400002</v>
      </c>
      <c r="K97" s="17"/>
    </row>
    <row r="98" spans="3:11">
      <c r="C98" s="3">
        <v>3</v>
      </c>
      <c r="D98" s="17">
        <f t="shared" si="22"/>
        <v>48313.386000000006</v>
      </c>
      <c r="E98" s="17"/>
      <c r="F98" s="17">
        <f t="shared" si="23"/>
        <v>49762.787580000004</v>
      </c>
      <c r="G98" s="17"/>
      <c r="H98" s="17">
        <f t="shared" si="24"/>
        <v>51255.671207400002</v>
      </c>
      <c r="I98" s="17"/>
      <c r="J98" s="17">
        <f t="shared" si="25"/>
        <v>52793.341343622007</v>
      </c>
      <c r="K98" s="17"/>
    </row>
    <row r="99" spans="3:11">
      <c r="C99" s="3">
        <v>4</v>
      </c>
      <c r="D99" s="17">
        <f t="shared" si="22"/>
        <v>49762.787580000004</v>
      </c>
      <c r="E99" s="17"/>
      <c r="F99" s="17">
        <f t="shared" si="23"/>
        <v>51255.671207400002</v>
      </c>
      <c r="G99" s="17"/>
      <c r="H99" s="17">
        <f t="shared" si="24"/>
        <v>52793.341343622007</v>
      </c>
      <c r="I99" s="17"/>
      <c r="J99" s="17">
        <f t="shared" si="25"/>
        <v>54377.141583930672</v>
      </c>
      <c r="K99" s="17"/>
    </row>
    <row r="100" spans="3:11">
      <c r="C100" s="3">
        <v>5</v>
      </c>
      <c r="D100" s="17">
        <f t="shared" si="22"/>
        <v>51255.671207400002</v>
      </c>
      <c r="E100" s="17"/>
      <c r="F100" s="17">
        <f t="shared" si="23"/>
        <v>52793.341343622007</v>
      </c>
      <c r="G100" s="17"/>
      <c r="H100" s="17">
        <f t="shared" si="24"/>
        <v>54377.141583930672</v>
      </c>
      <c r="I100" s="17"/>
      <c r="J100" s="17">
        <f t="shared" si="25"/>
        <v>56008.455831448591</v>
      </c>
      <c r="K100" s="17"/>
    </row>
    <row r="101" spans="3:11">
      <c r="C101" s="3">
        <v>6</v>
      </c>
      <c r="D101" s="17">
        <f t="shared" si="22"/>
        <v>52793.341343622007</v>
      </c>
      <c r="E101" s="17"/>
      <c r="F101" s="17">
        <f t="shared" si="23"/>
        <v>54377.141583930672</v>
      </c>
      <c r="G101" s="17"/>
      <c r="H101" s="17">
        <f t="shared" si="24"/>
        <v>56008.455831448591</v>
      </c>
      <c r="I101" s="17"/>
      <c r="J101" s="17">
        <f t="shared" si="25"/>
        <v>57688.70950639205</v>
      </c>
      <c r="K101" s="17"/>
    </row>
    <row r="102" spans="3:11">
      <c r="C102" s="3">
        <v>7</v>
      </c>
      <c r="D102" s="17">
        <f t="shared" si="22"/>
        <v>54377.141583930672</v>
      </c>
      <c r="E102" s="17"/>
      <c r="F102" s="17">
        <f t="shared" si="23"/>
        <v>56008.455831448591</v>
      </c>
      <c r="G102" s="17"/>
      <c r="H102" s="17">
        <f t="shared" si="24"/>
        <v>57688.70950639205</v>
      </c>
      <c r="I102" s="17"/>
      <c r="J102" s="17">
        <f t="shared" si="25"/>
        <v>59419.370791583809</v>
      </c>
      <c r="K102" s="17"/>
    </row>
    <row r="103" spans="3:11">
      <c r="C103" s="3">
        <v>8</v>
      </c>
      <c r="D103" s="17">
        <f t="shared" si="22"/>
        <v>56008.455831448591</v>
      </c>
      <c r="E103" s="17"/>
      <c r="F103" s="17">
        <f t="shared" si="23"/>
        <v>57688.70950639205</v>
      </c>
      <c r="G103" s="17"/>
      <c r="H103" s="17">
        <f t="shared" si="24"/>
        <v>59419.370791583809</v>
      </c>
      <c r="I103" s="17"/>
      <c r="J103" s="17">
        <f t="shared" si="25"/>
        <v>61201.951915331323</v>
      </c>
      <c r="K103" s="17"/>
    </row>
    <row r="104" spans="3:11">
      <c r="C104" s="3">
        <v>9</v>
      </c>
      <c r="D104" s="17">
        <f t="shared" si="22"/>
        <v>57688.70950639205</v>
      </c>
      <c r="E104" s="17"/>
      <c r="F104" s="17">
        <f t="shared" si="23"/>
        <v>59419.370791583809</v>
      </c>
      <c r="G104" s="17"/>
      <c r="H104" s="17">
        <f t="shared" si="24"/>
        <v>61201.951915331323</v>
      </c>
      <c r="I104" s="17"/>
      <c r="J104" s="17">
        <f t="shared" si="25"/>
        <v>63038.010472791262</v>
      </c>
      <c r="K104" s="17"/>
    </row>
    <row r="105" spans="3:11">
      <c r="C105" s="3">
        <v>10</v>
      </c>
      <c r="D105" s="17">
        <f t="shared" si="22"/>
        <v>59419.370791583809</v>
      </c>
      <c r="E105" s="17"/>
      <c r="F105" s="17">
        <f t="shared" si="23"/>
        <v>61201.951915331323</v>
      </c>
      <c r="G105" s="17"/>
      <c r="H105" s="17">
        <f t="shared" si="24"/>
        <v>63038.010472791262</v>
      </c>
      <c r="I105" s="17"/>
      <c r="J105" s="17">
        <f t="shared" si="25"/>
        <v>64929.150786974998</v>
      </c>
      <c r="K105" s="17"/>
    </row>
    <row r="106" spans="3:11">
      <c r="C106" s="3">
        <v>11</v>
      </c>
      <c r="D106" s="17">
        <f t="shared" si="22"/>
        <v>61201.951915331323</v>
      </c>
      <c r="E106" s="17"/>
      <c r="F106" s="17">
        <f t="shared" ref="F106:F110" si="26">D106*1.03</f>
        <v>63038.010472791262</v>
      </c>
      <c r="G106" s="17"/>
      <c r="H106" s="17">
        <f t="shared" ref="H106:H110" si="27">F106*1.03</f>
        <v>64929.150786974998</v>
      </c>
      <c r="I106" s="17"/>
      <c r="J106" s="17">
        <f t="shared" ref="J106:J110" si="28">H106*1.03</f>
        <v>66877.025310584257</v>
      </c>
      <c r="K106" s="17"/>
    </row>
    <row r="107" spans="3:11">
      <c r="C107" s="3">
        <v>12</v>
      </c>
      <c r="D107" s="17">
        <f t="shared" si="22"/>
        <v>63038.010472791262</v>
      </c>
      <c r="E107" s="17"/>
      <c r="F107" s="17">
        <f t="shared" si="26"/>
        <v>64929.150786974998</v>
      </c>
      <c r="G107" s="17"/>
      <c r="H107" s="17">
        <f t="shared" si="27"/>
        <v>66877.025310584257</v>
      </c>
      <c r="I107" s="17"/>
      <c r="J107" s="17">
        <f t="shared" si="28"/>
        <v>68883.336069901779</v>
      </c>
      <c r="K107" s="17"/>
    </row>
    <row r="108" spans="3:11">
      <c r="C108" s="3">
        <v>13</v>
      </c>
      <c r="D108" s="17">
        <f t="shared" si="22"/>
        <v>64929.150786974998</v>
      </c>
      <c r="E108" s="17"/>
      <c r="F108" s="17">
        <f t="shared" si="26"/>
        <v>66877.025310584257</v>
      </c>
      <c r="G108" s="17"/>
      <c r="H108" s="17">
        <f t="shared" si="27"/>
        <v>68883.336069901779</v>
      </c>
      <c r="I108" s="17"/>
      <c r="J108" s="17">
        <f t="shared" si="28"/>
        <v>70949.836151998839</v>
      </c>
      <c r="K108" s="17"/>
    </row>
    <row r="109" spans="3:11">
      <c r="C109" s="3">
        <v>14</v>
      </c>
      <c r="D109" s="17">
        <f t="shared" si="22"/>
        <v>66877.025310584257</v>
      </c>
      <c r="E109" s="17"/>
      <c r="F109" s="17">
        <f t="shared" si="26"/>
        <v>68883.336069901779</v>
      </c>
      <c r="G109" s="17"/>
      <c r="H109" s="17">
        <f t="shared" si="27"/>
        <v>70949.836151998839</v>
      </c>
      <c r="I109" s="17"/>
      <c r="J109" s="17">
        <f t="shared" si="28"/>
        <v>73078.331236558806</v>
      </c>
      <c r="K109" s="17"/>
    </row>
    <row r="110" spans="3:11">
      <c r="C110" s="3">
        <v>15</v>
      </c>
      <c r="D110" s="17">
        <f t="shared" si="22"/>
        <v>68883.336069901779</v>
      </c>
      <c r="E110" s="17"/>
      <c r="F110" s="17">
        <f t="shared" si="26"/>
        <v>70949.836151998839</v>
      </c>
      <c r="G110" s="17"/>
      <c r="H110" s="17">
        <f t="shared" si="27"/>
        <v>73078.331236558806</v>
      </c>
      <c r="I110" s="17"/>
      <c r="J110" s="17">
        <f t="shared" si="28"/>
        <v>75270.681173655568</v>
      </c>
      <c r="K110" s="17"/>
    </row>
    <row r="111" spans="3:11">
      <c r="D111" s="17"/>
      <c r="E111" s="17"/>
      <c r="F111" s="17"/>
      <c r="G111" s="17"/>
      <c r="H111" s="17"/>
      <c r="I111" s="17"/>
      <c r="J111" s="17"/>
      <c r="K111" s="17"/>
    </row>
    <row r="112" spans="3:11">
      <c r="D112" s="17"/>
      <c r="E112" s="17"/>
      <c r="F112" s="17"/>
      <c r="G112" s="17"/>
      <c r="H112" s="17"/>
      <c r="I112" s="17"/>
      <c r="J112" s="17"/>
      <c r="K112" s="17"/>
    </row>
    <row r="113" spans="1:11">
      <c r="A113" s="3" t="s">
        <v>121</v>
      </c>
      <c r="D113" s="17"/>
      <c r="E113" s="17"/>
      <c r="F113" s="17"/>
      <c r="G113" s="17"/>
      <c r="H113" s="17"/>
      <c r="I113" s="17"/>
      <c r="J113" s="17"/>
      <c r="K113" s="17"/>
    </row>
    <row r="114" spans="1:11">
      <c r="C114" s="3" t="s">
        <v>109</v>
      </c>
      <c r="D114" s="17"/>
      <c r="E114" s="17"/>
      <c r="F114" s="17"/>
      <c r="G114" s="17"/>
      <c r="H114" s="17"/>
      <c r="I114" s="17"/>
      <c r="J114" s="17"/>
      <c r="K114" s="17"/>
    </row>
    <row r="115" spans="1:11">
      <c r="B115" s="3" t="str">
        <f>B95</f>
        <v>Level</v>
      </c>
      <c r="D115" s="17" t="s">
        <v>118</v>
      </c>
      <c r="E115" s="17"/>
      <c r="F115" s="17" t="s">
        <v>115</v>
      </c>
      <c r="G115" s="17"/>
      <c r="H115" s="17" t="s">
        <v>116</v>
      </c>
      <c r="I115" s="17"/>
      <c r="J115" s="17"/>
      <c r="K115" s="17"/>
    </row>
    <row r="116" spans="1:11">
      <c r="C116" s="3">
        <v>1</v>
      </c>
      <c r="D116" s="17">
        <f>26000*0.99</f>
        <v>25740</v>
      </c>
      <c r="E116" s="17"/>
      <c r="F116" s="17">
        <f>D116+1000</f>
        <v>26740</v>
      </c>
      <c r="G116" s="17"/>
      <c r="H116" s="17">
        <f>F116+1000</f>
        <v>27740</v>
      </c>
      <c r="I116" s="17"/>
      <c r="J116" s="17"/>
      <c r="K116" s="17"/>
    </row>
    <row r="117" spans="1:11">
      <c r="C117" s="3">
        <v>2</v>
      </c>
      <c r="D117" s="17">
        <f t="shared" ref="D117:D135" si="29">D116*1.03</f>
        <v>26512.2</v>
      </c>
      <c r="E117" s="17"/>
      <c r="F117" s="17">
        <f t="shared" ref="F117:F135" si="30">F116*1.03</f>
        <v>27542.2</v>
      </c>
      <c r="G117" s="17"/>
      <c r="H117" s="17">
        <f t="shared" ref="H117:H125" si="31">F117*1.03</f>
        <v>28368.466</v>
      </c>
      <c r="I117" s="17"/>
      <c r="J117" s="17"/>
      <c r="K117" s="17"/>
    </row>
    <row r="118" spans="1:11">
      <c r="C118" s="3">
        <v>3</v>
      </c>
      <c r="D118" s="17">
        <f t="shared" si="29"/>
        <v>27307.566000000003</v>
      </c>
      <c r="E118" s="17"/>
      <c r="F118" s="17">
        <f t="shared" si="30"/>
        <v>28368.466</v>
      </c>
      <c r="G118" s="17"/>
      <c r="H118" s="17">
        <f t="shared" si="31"/>
        <v>29219.519980000001</v>
      </c>
      <c r="I118" s="17"/>
      <c r="J118" s="17"/>
      <c r="K118" s="17"/>
    </row>
    <row r="119" spans="1:11">
      <c r="C119" s="3">
        <v>4</v>
      </c>
      <c r="D119" s="17">
        <f t="shared" si="29"/>
        <v>28126.792980000002</v>
      </c>
      <c r="E119" s="17"/>
      <c r="F119" s="17">
        <f t="shared" si="30"/>
        <v>29219.519980000001</v>
      </c>
      <c r="G119" s="17"/>
      <c r="H119" s="17">
        <f t="shared" si="31"/>
        <v>30096.105579400002</v>
      </c>
      <c r="I119" s="17"/>
      <c r="J119" s="17"/>
      <c r="K119" s="17"/>
    </row>
    <row r="120" spans="1:11">
      <c r="C120" s="3">
        <v>5</v>
      </c>
      <c r="D120" s="17">
        <f t="shared" si="29"/>
        <v>28970.596769400003</v>
      </c>
      <c r="E120" s="17"/>
      <c r="F120" s="17">
        <f t="shared" si="30"/>
        <v>30096.105579400002</v>
      </c>
      <c r="G120" s="17"/>
      <c r="H120" s="17">
        <f t="shared" si="31"/>
        <v>30998.988746782004</v>
      </c>
      <c r="I120" s="17"/>
      <c r="J120" s="17"/>
      <c r="K120" s="17"/>
    </row>
    <row r="121" spans="1:11">
      <c r="C121" s="3">
        <v>6</v>
      </c>
      <c r="D121" s="17">
        <f t="shared" si="29"/>
        <v>29839.714672482005</v>
      </c>
      <c r="E121" s="17"/>
      <c r="F121" s="17">
        <f t="shared" si="30"/>
        <v>30998.988746782004</v>
      </c>
      <c r="G121" s="17"/>
      <c r="H121" s="17">
        <f t="shared" si="31"/>
        <v>31928.958409185467</v>
      </c>
      <c r="I121" s="17"/>
      <c r="J121" s="17"/>
      <c r="K121" s="17"/>
    </row>
    <row r="122" spans="1:11">
      <c r="C122" s="3">
        <v>7</v>
      </c>
      <c r="D122" s="17">
        <f t="shared" si="29"/>
        <v>30734.906112656467</v>
      </c>
      <c r="E122" s="17"/>
      <c r="F122" s="17">
        <f t="shared" si="30"/>
        <v>31928.958409185467</v>
      </c>
      <c r="G122" s="17"/>
      <c r="H122" s="17">
        <f t="shared" si="31"/>
        <v>32886.827161461035</v>
      </c>
      <c r="I122" s="17"/>
      <c r="J122" s="17"/>
      <c r="K122" s="17"/>
    </row>
    <row r="123" spans="1:11">
      <c r="C123" s="3">
        <v>8</v>
      </c>
      <c r="D123" s="17">
        <f t="shared" si="29"/>
        <v>31656.953296036161</v>
      </c>
      <c r="E123" s="17"/>
      <c r="F123" s="17">
        <f t="shared" si="30"/>
        <v>32886.827161461035</v>
      </c>
      <c r="G123" s="17"/>
      <c r="H123" s="17">
        <f t="shared" si="31"/>
        <v>33873.43197630487</v>
      </c>
      <c r="I123" s="17"/>
      <c r="J123" s="17"/>
      <c r="K123" s="17"/>
    </row>
    <row r="124" spans="1:11">
      <c r="C124" s="3">
        <v>9</v>
      </c>
      <c r="D124" s="17">
        <f t="shared" si="29"/>
        <v>32606.661894917248</v>
      </c>
      <c r="E124" s="17"/>
      <c r="F124" s="17">
        <f t="shared" si="30"/>
        <v>33873.43197630487</v>
      </c>
      <c r="G124" s="17"/>
      <c r="H124" s="17">
        <f t="shared" si="31"/>
        <v>34889.634935594018</v>
      </c>
      <c r="I124" s="17"/>
      <c r="J124" s="17"/>
      <c r="K124" s="17"/>
    </row>
    <row r="125" spans="1:11">
      <c r="C125" s="3">
        <v>10</v>
      </c>
      <c r="D125" s="17">
        <f t="shared" si="29"/>
        <v>33584.861751764765</v>
      </c>
      <c r="E125" s="17"/>
      <c r="F125" s="17">
        <f t="shared" si="30"/>
        <v>34889.634935594018</v>
      </c>
      <c r="G125" s="17"/>
      <c r="H125" s="17">
        <f t="shared" si="31"/>
        <v>35936.323983661838</v>
      </c>
      <c r="I125" s="17"/>
      <c r="J125" s="17"/>
      <c r="K125" s="17"/>
    </row>
    <row r="126" spans="1:11">
      <c r="C126" s="3">
        <v>11</v>
      </c>
      <c r="D126" s="17">
        <f t="shared" si="29"/>
        <v>34592.407604317712</v>
      </c>
      <c r="E126" s="17"/>
      <c r="F126" s="17">
        <f t="shared" si="30"/>
        <v>35936.323983661838</v>
      </c>
      <c r="G126" s="17"/>
      <c r="H126" s="17">
        <f t="shared" ref="H126:H135" si="32">F126*1.03</f>
        <v>37014.413703171696</v>
      </c>
      <c r="I126" s="17"/>
      <c r="J126" s="17"/>
      <c r="K126" s="17"/>
    </row>
    <row r="127" spans="1:11">
      <c r="C127" s="3">
        <v>12</v>
      </c>
      <c r="D127" s="17">
        <f t="shared" si="29"/>
        <v>35630.179832447247</v>
      </c>
      <c r="E127" s="17"/>
      <c r="F127" s="17">
        <f t="shared" si="30"/>
        <v>37014.413703171696</v>
      </c>
      <c r="G127" s="17"/>
      <c r="H127" s="17">
        <f t="shared" si="32"/>
        <v>38124.846114266846</v>
      </c>
      <c r="I127" s="17"/>
      <c r="J127" s="17"/>
      <c r="K127" s="17"/>
    </row>
    <row r="128" spans="1:11">
      <c r="C128" s="3">
        <v>13</v>
      </c>
      <c r="D128" s="17">
        <f t="shared" si="29"/>
        <v>36699.085227420663</v>
      </c>
      <c r="E128" s="17"/>
      <c r="F128" s="17">
        <f t="shared" si="30"/>
        <v>38124.846114266846</v>
      </c>
      <c r="G128" s="17"/>
      <c r="H128" s="17">
        <f t="shared" si="32"/>
        <v>39268.591497694855</v>
      </c>
      <c r="I128" s="17"/>
      <c r="J128" s="17"/>
      <c r="K128" s="17"/>
    </row>
    <row r="129" spans="1:11">
      <c r="C129" s="3">
        <v>14</v>
      </c>
      <c r="D129" s="17">
        <f t="shared" si="29"/>
        <v>37800.057784243283</v>
      </c>
      <c r="E129" s="17"/>
      <c r="F129" s="17">
        <f t="shared" si="30"/>
        <v>39268.591497694855</v>
      </c>
      <c r="G129" s="17"/>
      <c r="H129" s="17">
        <f t="shared" si="32"/>
        <v>40446.649242625703</v>
      </c>
      <c r="I129" s="17"/>
      <c r="J129" s="17"/>
      <c r="K129" s="17"/>
    </row>
    <row r="130" spans="1:11">
      <c r="C130" s="3">
        <v>15</v>
      </c>
      <c r="D130" s="17">
        <f t="shared" si="29"/>
        <v>38934.059517770584</v>
      </c>
      <c r="E130" s="17"/>
      <c r="F130" s="17">
        <f t="shared" si="30"/>
        <v>40446.649242625703</v>
      </c>
      <c r="G130" s="17"/>
      <c r="H130" s="17">
        <f t="shared" si="32"/>
        <v>41660.048719904473</v>
      </c>
      <c r="I130" s="17"/>
      <c r="J130" s="17"/>
      <c r="K130" s="17"/>
    </row>
    <row r="131" spans="1:11">
      <c r="C131" s="3">
        <v>16</v>
      </c>
      <c r="D131" s="17">
        <f t="shared" si="29"/>
        <v>40102.081303303705</v>
      </c>
      <c r="E131" s="17"/>
      <c r="F131" s="17">
        <f t="shared" si="30"/>
        <v>41660.048719904473</v>
      </c>
      <c r="G131" s="17"/>
      <c r="H131" s="17">
        <f t="shared" si="32"/>
        <v>42909.850181501606</v>
      </c>
      <c r="I131" s="17"/>
      <c r="J131" s="17"/>
      <c r="K131" s="17"/>
    </row>
    <row r="132" spans="1:11">
      <c r="C132" s="3">
        <v>17</v>
      </c>
      <c r="D132" s="17">
        <f t="shared" si="29"/>
        <v>41305.143742402819</v>
      </c>
      <c r="E132" s="17"/>
      <c r="F132" s="17">
        <f t="shared" si="30"/>
        <v>42909.850181501606</v>
      </c>
      <c r="G132" s="17"/>
      <c r="H132" s="17">
        <f t="shared" si="32"/>
        <v>44197.145686946656</v>
      </c>
      <c r="I132" s="17"/>
      <c r="J132" s="17"/>
      <c r="K132" s="17"/>
    </row>
    <row r="133" spans="1:11">
      <c r="C133" s="3">
        <v>18</v>
      </c>
      <c r="D133" s="17">
        <f t="shared" si="29"/>
        <v>42544.298054674902</v>
      </c>
      <c r="E133" s="17"/>
      <c r="F133" s="17">
        <f t="shared" si="30"/>
        <v>44197.145686946656</v>
      </c>
      <c r="G133" s="17"/>
      <c r="H133" s="17">
        <f t="shared" si="32"/>
        <v>45523.060057555056</v>
      </c>
      <c r="I133" s="17"/>
      <c r="J133" s="17"/>
      <c r="K133" s="17"/>
    </row>
    <row r="134" spans="1:11">
      <c r="C134" s="3">
        <v>19</v>
      </c>
      <c r="D134" s="17">
        <f t="shared" si="29"/>
        <v>43820.62699631515</v>
      </c>
      <c r="E134" s="17"/>
      <c r="F134" s="17">
        <f t="shared" si="30"/>
        <v>45523.060057555056</v>
      </c>
      <c r="G134" s="17"/>
      <c r="H134" s="17">
        <f t="shared" si="32"/>
        <v>46888.751859281707</v>
      </c>
      <c r="I134" s="17"/>
      <c r="J134" s="17"/>
      <c r="K134" s="17"/>
    </row>
    <row r="135" spans="1:11">
      <c r="C135" s="3">
        <v>20</v>
      </c>
      <c r="D135" s="17">
        <f t="shared" si="29"/>
        <v>45135.245806204606</v>
      </c>
      <c r="E135" s="17"/>
      <c r="F135" s="17">
        <f t="shared" si="30"/>
        <v>46888.751859281707</v>
      </c>
      <c r="G135" s="17"/>
      <c r="H135" s="17">
        <f t="shared" si="32"/>
        <v>48295.414415060157</v>
      </c>
      <c r="I135" s="17"/>
      <c r="J135" s="17"/>
      <c r="K135" s="17"/>
    </row>
    <row r="136" spans="1:11" s="2" customFormat="1">
      <c r="D136" s="18"/>
      <c r="E136" s="18"/>
      <c r="F136" s="18"/>
      <c r="G136" s="18"/>
      <c r="H136" s="18"/>
      <c r="I136" s="18"/>
      <c r="J136" s="18"/>
      <c r="K136" s="18"/>
    </row>
    <row r="137" spans="1:11">
      <c r="A137" s="3" t="s">
        <v>122</v>
      </c>
      <c r="D137" s="17"/>
      <c r="E137" s="17"/>
      <c r="F137" s="17"/>
      <c r="G137" s="17"/>
      <c r="H137" s="17"/>
      <c r="I137" s="17"/>
      <c r="J137" s="17"/>
      <c r="K137" s="17"/>
    </row>
    <row r="138" spans="1:11">
      <c r="C138" s="3" t="s">
        <v>109</v>
      </c>
      <c r="D138" s="17"/>
      <c r="E138" s="17"/>
      <c r="F138" s="17"/>
      <c r="G138" s="17"/>
      <c r="H138" s="17"/>
      <c r="I138" s="17"/>
      <c r="J138" s="17"/>
      <c r="K138" s="17"/>
    </row>
    <row r="139" spans="1:11">
      <c r="B139" s="3" t="str">
        <f>B115</f>
        <v>Level</v>
      </c>
      <c r="D139" s="17" t="s">
        <v>115</v>
      </c>
      <c r="E139" s="17"/>
      <c r="F139" s="17" t="s">
        <v>116</v>
      </c>
      <c r="G139" s="17"/>
      <c r="H139" s="17" t="s">
        <v>112</v>
      </c>
      <c r="I139" s="17"/>
      <c r="J139" s="17" t="s">
        <v>113</v>
      </c>
      <c r="K139" s="17"/>
    </row>
    <row r="140" spans="1:11">
      <c r="C140" s="3">
        <v>1</v>
      </c>
      <c r="D140" s="17">
        <f>55000*0.99-900</f>
        <v>53550</v>
      </c>
      <c r="E140" s="17"/>
      <c r="F140" s="17">
        <f>D140+500</f>
        <v>54050</v>
      </c>
      <c r="G140" s="17"/>
      <c r="H140" s="17">
        <f>F140+500</f>
        <v>54550</v>
      </c>
      <c r="I140" s="17"/>
      <c r="J140" s="17">
        <f>H140+750</f>
        <v>55300</v>
      </c>
      <c r="K140" s="17"/>
    </row>
    <row r="141" spans="1:11">
      <c r="C141" s="3">
        <v>2</v>
      </c>
      <c r="D141" s="17">
        <f t="shared" ref="D141:D159" si="33">D140*1.03</f>
        <v>55156.5</v>
      </c>
      <c r="E141" s="17"/>
      <c r="F141" s="17">
        <f t="shared" ref="F141:F159" si="34">F140*1.03</f>
        <v>55671.5</v>
      </c>
      <c r="G141" s="17"/>
      <c r="H141" s="17">
        <f t="shared" ref="H141:H149" si="35">F141*1.03</f>
        <v>57341.645000000004</v>
      </c>
      <c r="I141" s="17"/>
      <c r="J141" s="17">
        <f t="shared" ref="J141:J149" si="36">H141*1.03</f>
        <v>59061.894350000002</v>
      </c>
      <c r="K141" s="17"/>
    </row>
    <row r="142" spans="1:11">
      <c r="C142" s="3">
        <v>3</v>
      </c>
      <c r="D142" s="17">
        <f t="shared" si="33"/>
        <v>56811.195</v>
      </c>
      <c r="E142" s="17"/>
      <c r="F142" s="17">
        <f t="shared" si="34"/>
        <v>57341.645000000004</v>
      </c>
      <c r="G142" s="17"/>
      <c r="H142" s="17">
        <f t="shared" si="35"/>
        <v>59061.894350000002</v>
      </c>
      <c r="I142" s="17"/>
      <c r="J142" s="17">
        <f t="shared" si="36"/>
        <v>60833.751180500003</v>
      </c>
      <c r="K142" s="17"/>
    </row>
    <row r="143" spans="1:11">
      <c r="C143" s="3">
        <v>4</v>
      </c>
      <c r="D143" s="17">
        <f t="shared" si="33"/>
        <v>58515.530850000003</v>
      </c>
      <c r="E143" s="17"/>
      <c r="F143" s="17">
        <f t="shared" si="34"/>
        <v>59061.894350000002</v>
      </c>
      <c r="G143" s="17"/>
      <c r="H143" s="17">
        <f t="shared" si="35"/>
        <v>60833.751180500003</v>
      </c>
      <c r="I143" s="17"/>
      <c r="J143" s="17">
        <f t="shared" si="36"/>
        <v>62658.763715915004</v>
      </c>
      <c r="K143" s="17"/>
    </row>
    <row r="144" spans="1:11">
      <c r="C144" s="3">
        <v>5</v>
      </c>
      <c r="D144" s="17">
        <f t="shared" si="33"/>
        <v>60270.996775500003</v>
      </c>
      <c r="E144" s="17"/>
      <c r="F144" s="17">
        <f t="shared" si="34"/>
        <v>60833.751180500003</v>
      </c>
      <c r="G144" s="17"/>
      <c r="H144" s="17">
        <f t="shared" si="35"/>
        <v>62658.763715915004</v>
      </c>
      <c r="I144" s="17"/>
      <c r="J144" s="17">
        <f t="shared" si="36"/>
        <v>64538.526627392457</v>
      </c>
      <c r="K144" s="17"/>
    </row>
    <row r="145" spans="3:11">
      <c r="C145" s="3">
        <v>6</v>
      </c>
      <c r="D145" s="17">
        <f t="shared" si="33"/>
        <v>62079.126678765002</v>
      </c>
      <c r="E145" s="17"/>
      <c r="F145" s="17">
        <f t="shared" si="34"/>
        <v>62658.763715915004</v>
      </c>
      <c r="G145" s="17"/>
      <c r="H145" s="17">
        <f t="shared" si="35"/>
        <v>64538.526627392457</v>
      </c>
      <c r="I145" s="17"/>
      <c r="J145" s="17">
        <f t="shared" si="36"/>
        <v>66474.682426214233</v>
      </c>
      <c r="K145" s="17"/>
    </row>
    <row r="146" spans="3:11">
      <c r="C146" s="3">
        <v>7</v>
      </c>
      <c r="D146" s="17">
        <f t="shared" si="33"/>
        <v>63941.500479127957</v>
      </c>
      <c r="E146" s="17"/>
      <c r="F146" s="17">
        <f t="shared" si="34"/>
        <v>64538.526627392457</v>
      </c>
      <c r="G146" s="17"/>
      <c r="H146" s="17">
        <f t="shared" si="35"/>
        <v>66474.682426214233</v>
      </c>
      <c r="I146" s="17"/>
      <c r="J146" s="17">
        <f t="shared" si="36"/>
        <v>68468.922899000667</v>
      </c>
      <c r="K146" s="17"/>
    </row>
    <row r="147" spans="3:11">
      <c r="C147" s="3">
        <v>8</v>
      </c>
      <c r="D147" s="17">
        <f t="shared" si="33"/>
        <v>65859.745493501803</v>
      </c>
      <c r="E147" s="17"/>
      <c r="F147" s="17">
        <f t="shared" si="34"/>
        <v>66474.682426214233</v>
      </c>
      <c r="G147" s="17"/>
      <c r="H147" s="17">
        <f t="shared" si="35"/>
        <v>68468.922899000667</v>
      </c>
      <c r="I147" s="17"/>
      <c r="J147" s="17">
        <f t="shared" si="36"/>
        <v>70522.990585970692</v>
      </c>
      <c r="K147" s="17"/>
    </row>
    <row r="148" spans="3:11">
      <c r="C148" s="3">
        <v>9</v>
      </c>
      <c r="D148" s="17">
        <f t="shared" si="33"/>
        <v>67835.537858306852</v>
      </c>
      <c r="E148" s="17"/>
      <c r="F148" s="17">
        <f t="shared" si="34"/>
        <v>68468.922899000667</v>
      </c>
      <c r="G148" s="17"/>
      <c r="H148" s="17">
        <f t="shared" si="35"/>
        <v>70522.990585970692</v>
      </c>
      <c r="I148" s="17"/>
      <c r="J148" s="17">
        <f t="shared" si="36"/>
        <v>72638.680303549816</v>
      </c>
      <c r="K148" s="17"/>
    </row>
    <row r="149" spans="3:11">
      <c r="C149" s="3">
        <v>10</v>
      </c>
      <c r="D149" s="17">
        <f t="shared" si="33"/>
        <v>69870.603994056059</v>
      </c>
      <c r="E149" s="17"/>
      <c r="F149" s="17">
        <f t="shared" si="34"/>
        <v>70522.990585970692</v>
      </c>
      <c r="G149" s="17"/>
      <c r="H149" s="17">
        <f t="shared" si="35"/>
        <v>72638.680303549816</v>
      </c>
      <c r="I149" s="17"/>
      <c r="J149" s="17">
        <f t="shared" si="36"/>
        <v>74817.840712656311</v>
      </c>
      <c r="K149" s="17"/>
    </row>
    <row r="150" spans="3:11">
      <c r="C150" s="3">
        <v>11</v>
      </c>
      <c r="D150" s="17">
        <f t="shared" si="33"/>
        <v>71966.722113877739</v>
      </c>
      <c r="E150" s="17"/>
      <c r="F150" s="17">
        <f t="shared" si="34"/>
        <v>72638.680303549816</v>
      </c>
      <c r="G150" s="17"/>
      <c r="H150" s="17">
        <f t="shared" ref="H150:H159" si="37">F150*1.03</f>
        <v>74817.840712656311</v>
      </c>
      <c r="I150" s="17"/>
      <c r="J150" s="17">
        <f t="shared" ref="J150:J159" si="38">H150*1.03</f>
        <v>77062.375934035997</v>
      </c>
    </row>
    <row r="151" spans="3:11">
      <c r="C151" s="3">
        <v>12</v>
      </c>
      <c r="D151" s="17">
        <f t="shared" si="33"/>
        <v>74125.723777294072</v>
      </c>
      <c r="E151" s="17"/>
      <c r="F151" s="17">
        <f t="shared" si="34"/>
        <v>74817.840712656311</v>
      </c>
      <c r="G151" s="17"/>
      <c r="H151" s="17">
        <f t="shared" si="37"/>
        <v>77062.375934035997</v>
      </c>
      <c r="I151" s="17"/>
      <c r="J151" s="17">
        <f t="shared" si="38"/>
        <v>79374.247212057075</v>
      </c>
    </row>
    <row r="152" spans="3:11">
      <c r="C152" s="3">
        <v>13</v>
      </c>
      <c r="D152" s="17">
        <f t="shared" si="33"/>
        <v>76349.495490612899</v>
      </c>
      <c r="E152" s="17"/>
      <c r="F152" s="17">
        <f t="shared" si="34"/>
        <v>77062.375934035997</v>
      </c>
      <c r="G152" s="17"/>
      <c r="H152" s="17">
        <f t="shared" si="37"/>
        <v>79374.247212057075</v>
      </c>
      <c r="I152" s="17"/>
      <c r="J152" s="17">
        <f t="shared" si="38"/>
        <v>81755.474628418786</v>
      </c>
    </row>
    <row r="153" spans="3:11">
      <c r="C153" s="3">
        <v>14</v>
      </c>
      <c r="D153" s="17">
        <f t="shared" si="33"/>
        <v>78639.980355331281</v>
      </c>
      <c r="E153" s="17"/>
      <c r="F153" s="17">
        <f t="shared" si="34"/>
        <v>79374.247212057075</v>
      </c>
      <c r="G153" s="17"/>
      <c r="H153" s="17">
        <f t="shared" si="37"/>
        <v>81755.474628418786</v>
      </c>
      <c r="I153" s="17"/>
      <c r="J153" s="17">
        <f t="shared" si="38"/>
        <v>84208.138867271351</v>
      </c>
    </row>
    <row r="154" spans="3:11">
      <c r="C154" s="3">
        <v>15</v>
      </c>
      <c r="D154" s="17">
        <f t="shared" si="33"/>
        <v>80999.179765991226</v>
      </c>
      <c r="E154" s="17"/>
      <c r="F154" s="17">
        <f t="shared" si="34"/>
        <v>81755.474628418786</v>
      </c>
      <c r="G154" s="17"/>
      <c r="H154" s="17">
        <f t="shared" si="37"/>
        <v>84208.138867271351</v>
      </c>
      <c r="I154" s="17"/>
      <c r="J154" s="17">
        <f t="shared" si="38"/>
        <v>86734.383033289487</v>
      </c>
    </row>
    <row r="155" spans="3:11">
      <c r="C155" s="3">
        <v>16</v>
      </c>
      <c r="D155" s="17">
        <f t="shared" si="33"/>
        <v>83429.155158970971</v>
      </c>
      <c r="E155" s="17"/>
      <c r="F155" s="17">
        <f t="shared" si="34"/>
        <v>84208.138867271351</v>
      </c>
      <c r="G155" s="17"/>
      <c r="H155" s="17">
        <f t="shared" si="37"/>
        <v>86734.383033289487</v>
      </c>
      <c r="I155" s="17"/>
      <c r="J155" s="17">
        <f t="shared" si="38"/>
        <v>89336.414524288179</v>
      </c>
    </row>
    <row r="156" spans="3:11">
      <c r="C156" s="3">
        <v>17</v>
      </c>
      <c r="D156" s="17">
        <f t="shared" si="33"/>
        <v>85932.029813740097</v>
      </c>
      <c r="E156" s="17"/>
      <c r="F156" s="17">
        <f t="shared" si="34"/>
        <v>86734.383033289487</v>
      </c>
      <c r="G156" s="17"/>
      <c r="H156" s="17">
        <f t="shared" si="37"/>
        <v>89336.414524288179</v>
      </c>
      <c r="I156" s="17"/>
      <c r="J156" s="17">
        <f t="shared" si="38"/>
        <v>92016.506960016821</v>
      </c>
    </row>
    <row r="157" spans="3:11">
      <c r="C157" s="3">
        <v>18</v>
      </c>
      <c r="D157" s="17">
        <f t="shared" si="33"/>
        <v>88509.990708152298</v>
      </c>
      <c r="E157" s="17"/>
      <c r="F157" s="17">
        <f t="shared" si="34"/>
        <v>89336.414524288179</v>
      </c>
      <c r="G157" s="17"/>
      <c r="H157" s="17">
        <f t="shared" si="37"/>
        <v>92016.506960016821</v>
      </c>
      <c r="I157" s="17"/>
      <c r="J157" s="17">
        <f t="shared" si="38"/>
        <v>94777.002168817329</v>
      </c>
    </row>
    <row r="158" spans="3:11">
      <c r="C158" s="3">
        <v>19</v>
      </c>
      <c r="D158" s="17">
        <f t="shared" si="33"/>
        <v>91165.290429396875</v>
      </c>
      <c r="E158" s="17"/>
      <c r="F158" s="17">
        <f t="shared" si="34"/>
        <v>92016.506960016821</v>
      </c>
      <c r="G158" s="17"/>
      <c r="H158" s="17">
        <f t="shared" si="37"/>
        <v>94777.002168817329</v>
      </c>
      <c r="I158" s="17"/>
      <c r="J158" s="17">
        <f t="shared" si="38"/>
        <v>97620.31223388185</v>
      </c>
    </row>
    <row r="159" spans="3:11">
      <c r="C159" s="3">
        <v>20</v>
      </c>
      <c r="D159" s="17">
        <f t="shared" si="33"/>
        <v>93900.249142278786</v>
      </c>
      <c r="E159" s="17"/>
      <c r="F159" s="17">
        <f t="shared" si="34"/>
        <v>94777.002168817329</v>
      </c>
      <c r="G159" s="17"/>
      <c r="H159" s="17">
        <f t="shared" si="37"/>
        <v>97620.31223388185</v>
      </c>
      <c r="I159" s="17"/>
      <c r="J159" s="17">
        <f t="shared" si="38"/>
        <v>100548.92160089831</v>
      </c>
    </row>
    <row r="218" s="2" customFormat="1"/>
    <row r="221" s="2" customFormat="1"/>
  </sheetData>
  <phoneticPr fontId="24" type="noConversion"/>
  <pageMargins left="0.75" right="0.75" top="1.21" bottom="0.52" header="0.17" footer="0.17"/>
  <pageSetup orientation="portrait"/>
  <headerFooter alignWithMargins="0">
    <oddHeader>&amp;C&amp;"Arial,Bold"&amp;18International School of Louisiana
Operations Salary Schedule '13 - 2014
&amp;A&amp;RPrinted &amp;D&amp;T</oddHeader>
    <oddFooter>&amp;L&amp;6&amp;Z&amp;F&amp;RPage &amp;P of &amp;N</oddFooter>
  </headerFooter>
  <rowBreaks count="1" manualBreakCount="1">
    <brk id="1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J217"/>
  <sheetViews>
    <sheetView topLeftCell="A27" workbookViewId="0">
      <selection activeCell="D14" sqref="D14"/>
    </sheetView>
  </sheetViews>
  <sheetFormatPr baseColWidth="10" defaultColWidth="8.7109375" defaultRowHeight="12" x14ac:dyDescent="0"/>
  <cols>
    <col min="1" max="1" width="4.42578125" style="3" customWidth="1"/>
    <col min="2" max="2" width="2" style="3" customWidth="1"/>
    <col min="3" max="3" width="3.28515625" style="3" customWidth="1"/>
    <col min="4" max="4" width="11.140625" style="3" customWidth="1"/>
    <col min="5" max="5" width="2.140625" style="3" customWidth="1"/>
    <col min="6" max="6" width="10" style="3" customWidth="1"/>
    <col min="7" max="7" width="2.85546875" style="3" customWidth="1"/>
    <col min="8" max="8" width="11.28515625" style="3" customWidth="1"/>
    <col min="9" max="9" width="2.42578125" style="3" customWidth="1"/>
    <col min="10" max="10" width="8.7109375" style="3"/>
    <col min="11" max="11" width="2.85546875" style="3" customWidth="1"/>
    <col min="12" max="16384" width="8.7109375" style="3"/>
  </cols>
  <sheetData>
    <row r="1" spans="1:10">
      <c r="A1" s="3" t="s">
        <v>123</v>
      </c>
    </row>
    <row r="2" spans="1:10">
      <c r="C2" s="3" t="s">
        <v>109</v>
      </c>
    </row>
    <row r="3" spans="1:10">
      <c r="B3" s="3" t="str">
        <f>'FC-SCH'!B3</f>
        <v>Level</v>
      </c>
      <c r="D3" s="3" t="s">
        <v>116</v>
      </c>
      <c r="F3" s="3" t="s">
        <v>112</v>
      </c>
      <c r="H3" s="3" t="s">
        <v>113</v>
      </c>
    </row>
    <row r="4" spans="1:10">
      <c r="C4" s="3">
        <v>1</v>
      </c>
      <c r="D4" s="17">
        <f>97500</f>
        <v>97500</v>
      </c>
      <c r="E4" s="17"/>
      <c r="F4" s="17">
        <f>D4+1000</f>
        <v>98500</v>
      </c>
      <c r="G4" s="17"/>
      <c r="H4" s="17">
        <f>F4+750</f>
        <v>99250</v>
      </c>
      <c r="I4" s="17"/>
      <c r="J4" s="17"/>
    </row>
    <row r="5" spans="1:10">
      <c r="C5" s="3">
        <v>2</v>
      </c>
      <c r="D5" s="17">
        <f t="shared" ref="D5:D21" si="0">D4*1.03</f>
        <v>100425</v>
      </c>
      <c r="E5" s="17"/>
      <c r="F5" s="17">
        <f>F4*1.03</f>
        <v>101455</v>
      </c>
      <c r="G5" s="17"/>
      <c r="H5" s="17">
        <f t="shared" ref="H5:H21" si="1">H4*1.03</f>
        <v>102227.5</v>
      </c>
      <c r="I5" s="17"/>
      <c r="J5" s="17"/>
    </row>
    <row r="6" spans="1:10">
      <c r="C6" s="3">
        <v>3</v>
      </c>
      <c r="D6" s="17">
        <f>D5*1.03</f>
        <v>103437.75</v>
      </c>
      <c r="E6" s="17"/>
      <c r="F6" s="17">
        <f>F5*1.03</f>
        <v>104498.65000000001</v>
      </c>
      <c r="G6" s="17"/>
      <c r="H6" s="17">
        <f>H5*1.03</f>
        <v>105294.325</v>
      </c>
      <c r="I6" s="17"/>
      <c r="J6" s="17"/>
    </row>
    <row r="7" spans="1:10">
      <c r="C7" s="3">
        <v>4</v>
      </c>
      <c r="D7" s="17">
        <f t="shared" si="0"/>
        <v>106540.88250000001</v>
      </c>
      <c r="E7" s="17"/>
      <c r="F7" s="17">
        <f>F6*1.03</f>
        <v>107633.60950000001</v>
      </c>
      <c r="G7" s="17"/>
      <c r="H7" s="17">
        <f t="shared" si="1"/>
        <v>108453.15475</v>
      </c>
      <c r="I7" s="17"/>
      <c r="J7" s="17"/>
    </row>
    <row r="8" spans="1:10">
      <c r="C8" s="3">
        <v>5</v>
      </c>
      <c r="D8" s="17">
        <f t="shared" si="0"/>
        <v>109737.10897500001</v>
      </c>
      <c r="E8" s="17"/>
      <c r="F8" s="17">
        <f>F7*1.03-300</f>
        <v>110562.61778500001</v>
      </c>
      <c r="G8" s="17"/>
      <c r="H8" s="17">
        <f t="shared" si="1"/>
        <v>111706.7493925</v>
      </c>
      <c r="I8" s="17"/>
      <c r="J8" s="17"/>
    </row>
    <row r="9" spans="1:10">
      <c r="C9" s="3">
        <v>6</v>
      </c>
      <c r="D9" s="17">
        <f t="shared" si="0"/>
        <v>113029.22224425002</v>
      </c>
      <c r="E9" s="17"/>
      <c r="F9" s="17">
        <f t="shared" ref="F9:F15" si="2">F8*1.03</f>
        <v>113879.49631855001</v>
      </c>
      <c r="G9" s="17"/>
      <c r="H9" s="17">
        <f t="shared" si="1"/>
        <v>115057.95187427501</v>
      </c>
      <c r="I9" s="17"/>
      <c r="J9" s="17"/>
    </row>
    <row r="10" spans="1:10">
      <c r="C10" s="3">
        <v>7</v>
      </c>
      <c r="D10" s="17">
        <f t="shared" si="0"/>
        <v>116420.09891157753</v>
      </c>
      <c r="E10" s="17"/>
      <c r="F10" s="17">
        <f t="shared" si="2"/>
        <v>117295.88120810651</v>
      </c>
      <c r="G10" s="17"/>
      <c r="H10" s="17">
        <f t="shared" si="1"/>
        <v>118509.69043050327</v>
      </c>
      <c r="I10" s="17"/>
      <c r="J10" s="17"/>
    </row>
    <row r="11" spans="1:10">
      <c r="C11" s="3">
        <v>8</v>
      </c>
      <c r="D11" s="17">
        <f t="shared" si="0"/>
        <v>119912.70187892485</v>
      </c>
      <c r="E11" s="17"/>
      <c r="F11" s="17">
        <f t="shared" si="2"/>
        <v>120814.75764434971</v>
      </c>
      <c r="G11" s="17"/>
      <c r="H11" s="17">
        <f t="shared" si="1"/>
        <v>122064.98114341836</v>
      </c>
      <c r="I11" s="17"/>
      <c r="J11" s="17"/>
    </row>
    <row r="12" spans="1:10">
      <c r="C12" s="3">
        <v>9</v>
      </c>
      <c r="D12" s="17">
        <f t="shared" si="0"/>
        <v>123510.08293529261</v>
      </c>
      <c r="E12" s="17"/>
      <c r="F12" s="17">
        <f t="shared" si="2"/>
        <v>124439.2003736802</v>
      </c>
      <c r="G12" s="17"/>
      <c r="H12" s="17">
        <f t="shared" si="1"/>
        <v>125726.93057772092</v>
      </c>
      <c r="I12" s="17"/>
      <c r="J12" s="17"/>
    </row>
    <row r="13" spans="1:10">
      <c r="C13" s="3">
        <v>10</v>
      </c>
      <c r="D13" s="17">
        <f t="shared" si="0"/>
        <v>127215.38542335138</v>
      </c>
      <c r="E13" s="17"/>
      <c r="F13" s="17">
        <f t="shared" si="2"/>
        <v>128172.37638489061</v>
      </c>
      <c r="G13" s="17"/>
      <c r="H13" s="17">
        <f t="shared" si="1"/>
        <v>129498.73849505256</v>
      </c>
      <c r="I13" s="17"/>
      <c r="J13" s="17"/>
    </row>
    <row r="14" spans="1:10">
      <c r="C14" s="3">
        <v>11</v>
      </c>
      <c r="D14" s="17">
        <f>D13*1.03-1032</f>
        <v>129999.84698605193</v>
      </c>
      <c r="E14" s="17"/>
      <c r="F14" s="17">
        <f t="shared" si="2"/>
        <v>132017.54767643733</v>
      </c>
      <c r="G14" s="17"/>
      <c r="H14" s="17">
        <f>H13*1.03</f>
        <v>133383.70064990415</v>
      </c>
      <c r="I14" s="17"/>
      <c r="J14" s="17"/>
    </row>
    <row r="15" spans="1:10">
      <c r="C15" s="3">
        <v>12</v>
      </c>
      <c r="D15" s="17">
        <f t="shared" si="0"/>
        <v>133899.84239563349</v>
      </c>
      <c r="E15" s="17"/>
      <c r="F15" s="17">
        <f t="shared" si="2"/>
        <v>135978.07410673046</v>
      </c>
      <c r="G15" s="17"/>
      <c r="H15" s="17">
        <f t="shared" si="1"/>
        <v>137385.21166940127</v>
      </c>
      <c r="I15" s="17"/>
      <c r="J15" s="17"/>
    </row>
    <row r="16" spans="1:10">
      <c r="C16" s="3">
        <v>13</v>
      </c>
      <c r="D16" s="17">
        <f t="shared" si="0"/>
        <v>137916.83766750249</v>
      </c>
      <c r="E16" s="17"/>
      <c r="F16" s="17">
        <f>F15*1.03-300</f>
        <v>139757.41632993237</v>
      </c>
      <c r="G16" s="17"/>
      <c r="H16" s="17">
        <f t="shared" si="1"/>
        <v>141506.76801948331</v>
      </c>
      <c r="I16" s="17"/>
      <c r="J16" s="17"/>
    </row>
    <row r="17" spans="1:10">
      <c r="C17" s="3">
        <v>14</v>
      </c>
      <c r="D17" s="17">
        <f t="shared" si="0"/>
        <v>142054.34279752758</v>
      </c>
      <c r="E17" s="17"/>
      <c r="F17" s="17">
        <f>F16*1.03</f>
        <v>143950.13881983035</v>
      </c>
      <c r="G17" s="17"/>
      <c r="H17" s="17">
        <f t="shared" si="1"/>
        <v>145751.97106006782</v>
      </c>
      <c r="I17" s="17"/>
      <c r="J17" s="17"/>
    </row>
    <row r="18" spans="1:10">
      <c r="C18" s="3">
        <v>15</v>
      </c>
      <c r="D18" s="17">
        <f t="shared" si="0"/>
        <v>146315.97308145341</v>
      </c>
      <c r="E18" s="17"/>
      <c r="F18" s="17">
        <f>F17*1.03</f>
        <v>148268.64298442527</v>
      </c>
      <c r="G18" s="17"/>
      <c r="H18" s="17">
        <f t="shared" si="1"/>
        <v>150124.53019186985</v>
      </c>
      <c r="I18" s="17"/>
      <c r="J18" s="17"/>
    </row>
    <row r="19" spans="1:10">
      <c r="C19" s="3">
        <v>16</v>
      </c>
      <c r="D19" s="17">
        <f>D18*1.03</f>
        <v>150705.45227389701</v>
      </c>
      <c r="E19" s="17"/>
      <c r="F19" s="17">
        <f>F18*1.03</f>
        <v>152716.70227395804</v>
      </c>
      <c r="G19" s="17"/>
      <c r="H19" s="17">
        <f t="shared" si="1"/>
        <v>154628.26609762595</v>
      </c>
      <c r="I19" s="17"/>
      <c r="J19" s="17"/>
    </row>
    <row r="20" spans="1:10">
      <c r="C20" s="3">
        <v>17</v>
      </c>
      <c r="D20" s="17">
        <f>D19*1.03</f>
        <v>155226.61584211391</v>
      </c>
      <c r="E20" s="17"/>
      <c r="F20" s="17">
        <f>F19*1.03</f>
        <v>157298.2033421768</v>
      </c>
      <c r="G20" s="17"/>
      <c r="H20" s="17">
        <f t="shared" si="1"/>
        <v>159267.11408055475</v>
      </c>
      <c r="I20" s="17"/>
      <c r="J20" s="17"/>
    </row>
    <row r="21" spans="1:10">
      <c r="C21" s="3">
        <v>18</v>
      </c>
      <c r="D21" s="17">
        <f t="shared" si="0"/>
        <v>159883.41431737732</v>
      </c>
      <c r="E21" s="17"/>
      <c r="F21" s="17">
        <f>F20*1.03</f>
        <v>162017.14944244211</v>
      </c>
      <c r="G21" s="17"/>
      <c r="H21" s="17">
        <f t="shared" si="1"/>
        <v>164045.12750297139</v>
      </c>
      <c r="I21" s="17"/>
      <c r="J21" s="17"/>
    </row>
    <row r="22" spans="1:10">
      <c r="D22" s="17"/>
      <c r="E22" s="17"/>
      <c r="F22" s="17"/>
      <c r="G22" s="17"/>
      <c r="H22" s="17"/>
      <c r="I22" s="17"/>
      <c r="J22" s="17"/>
    </row>
    <row r="23" spans="1:10">
      <c r="D23" s="17"/>
      <c r="E23" s="17"/>
      <c r="F23" s="17"/>
      <c r="G23" s="17"/>
      <c r="H23" s="17"/>
      <c r="I23" s="17"/>
      <c r="J23" s="17"/>
    </row>
    <row r="24" spans="1:10">
      <c r="A24" s="3" t="s">
        <v>124</v>
      </c>
      <c r="D24" s="17"/>
      <c r="E24" s="17"/>
      <c r="F24" s="17"/>
      <c r="G24" s="17"/>
      <c r="H24" s="19" t="s">
        <v>397</v>
      </c>
      <c r="I24" s="17"/>
      <c r="J24" s="17"/>
    </row>
    <row r="25" spans="1:10">
      <c r="C25" s="3" t="s">
        <v>109</v>
      </c>
      <c r="D25" s="17"/>
      <c r="E25" s="17"/>
      <c r="F25" s="17"/>
      <c r="G25" s="17"/>
      <c r="H25" s="17"/>
      <c r="I25" s="17"/>
      <c r="J25" s="17"/>
    </row>
    <row r="26" spans="1:10">
      <c r="B26" s="3" t="str">
        <f>B3</f>
        <v>Level</v>
      </c>
      <c r="D26" s="17" t="s">
        <v>118</v>
      </c>
      <c r="E26" s="17"/>
      <c r="F26" s="17" t="s">
        <v>115</v>
      </c>
      <c r="G26" s="17"/>
      <c r="H26" s="17"/>
      <c r="I26" s="17"/>
      <c r="J26" s="17"/>
    </row>
    <row r="27" spans="1:10">
      <c r="C27" s="3">
        <v>1</v>
      </c>
      <c r="D27" s="17">
        <f>28500*0.99</f>
        <v>28215</v>
      </c>
      <c r="E27" s="17"/>
      <c r="F27" s="17">
        <f>D27+1000</f>
        <v>29215</v>
      </c>
      <c r="G27" s="17"/>
      <c r="H27" s="17">
        <v>40000</v>
      </c>
      <c r="I27" s="17"/>
      <c r="J27" s="17"/>
    </row>
    <row r="28" spans="1:10">
      <c r="C28" s="3">
        <v>2</v>
      </c>
      <c r="D28" s="17">
        <f t="shared" ref="D28:D36" si="3">D27*1.03</f>
        <v>29061.45</v>
      </c>
      <c r="E28" s="17"/>
      <c r="F28" s="17">
        <f t="shared" ref="F28:F36" si="4">D28*1.03</f>
        <v>29933.2935</v>
      </c>
      <c r="G28" s="17"/>
      <c r="H28" s="17">
        <f t="shared" ref="H28:H36" si="5">H27*1.03</f>
        <v>41200</v>
      </c>
      <c r="I28" s="17"/>
      <c r="J28" s="17"/>
    </row>
    <row r="29" spans="1:10">
      <c r="C29" s="3">
        <v>3</v>
      </c>
      <c r="D29" s="17">
        <f t="shared" si="3"/>
        <v>29933.2935</v>
      </c>
      <c r="E29" s="17"/>
      <c r="F29" s="17">
        <f t="shared" si="4"/>
        <v>30831.292304999999</v>
      </c>
      <c r="G29" s="17"/>
      <c r="H29" s="17">
        <f t="shared" si="5"/>
        <v>42436</v>
      </c>
      <c r="I29" s="17"/>
      <c r="J29" s="17"/>
    </row>
    <row r="30" spans="1:10">
      <c r="C30" s="3">
        <v>4</v>
      </c>
      <c r="D30" s="17">
        <f t="shared" si="3"/>
        <v>30831.292304999999</v>
      </c>
      <c r="E30" s="17"/>
      <c r="F30" s="17">
        <f t="shared" si="4"/>
        <v>31756.23107415</v>
      </c>
      <c r="G30" s="17"/>
      <c r="H30" s="17">
        <f t="shared" si="5"/>
        <v>43709.08</v>
      </c>
      <c r="I30" s="17"/>
      <c r="J30" s="17"/>
    </row>
    <row r="31" spans="1:10">
      <c r="C31" s="3">
        <v>5</v>
      </c>
      <c r="D31" s="17">
        <f t="shared" si="3"/>
        <v>31756.23107415</v>
      </c>
      <c r="E31" s="17"/>
      <c r="F31" s="17">
        <f t="shared" si="4"/>
        <v>32708.918006374501</v>
      </c>
      <c r="G31" s="17"/>
      <c r="H31" s="17">
        <f t="shared" si="5"/>
        <v>45020.352400000003</v>
      </c>
      <c r="I31" s="17"/>
      <c r="J31" s="17"/>
    </row>
    <row r="32" spans="1:10">
      <c r="C32" s="3">
        <v>6</v>
      </c>
      <c r="D32" s="17">
        <f t="shared" si="3"/>
        <v>32708.918006374501</v>
      </c>
      <c r="E32" s="17"/>
      <c r="F32" s="17">
        <f t="shared" si="4"/>
        <v>33690.185546565735</v>
      </c>
      <c r="G32" s="17"/>
      <c r="H32" s="17">
        <f t="shared" si="5"/>
        <v>46370.962972000001</v>
      </c>
      <c r="I32" s="17"/>
      <c r="J32" s="17"/>
    </row>
    <row r="33" spans="1:10">
      <c r="C33" s="3">
        <v>7</v>
      </c>
      <c r="D33" s="17">
        <f t="shared" si="3"/>
        <v>33690.185546565735</v>
      </c>
      <c r="E33" s="17"/>
      <c r="F33" s="17">
        <f t="shared" si="4"/>
        <v>34700.891112962709</v>
      </c>
      <c r="G33" s="17"/>
      <c r="H33" s="17">
        <f t="shared" si="5"/>
        <v>47762.091861159999</v>
      </c>
      <c r="I33" s="17"/>
      <c r="J33" s="17"/>
    </row>
    <row r="34" spans="1:10">
      <c r="C34" s="3">
        <v>8</v>
      </c>
      <c r="D34" s="17">
        <f t="shared" si="3"/>
        <v>34700.891112962709</v>
      </c>
      <c r="E34" s="17"/>
      <c r="F34" s="17">
        <f t="shared" si="4"/>
        <v>35741.917846351593</v>
      </c>
      <c r="G34" s="17"/>
      <c r="H34" s="17">
        <f t="shared" si="5"/>
        <v>49194.954616994801</v>
      </c>
      <c r="I34" s="17"/>
      <c r="J34" s="17"/>
    </row>
    <row r="35" spans="1:10">
      <c r="C35" s="3">
        <v>9</v>
      </c>
      <c r="D35" s="17">
        <f t="shared" si="3"/>
        <v>35741.917846351593</v>
      </c>
      <c r="E35" s="17"/>
      <c r="F35" s="17">
        <f t="shared" si="4"/>
        <v>36814.175381742141</v>
      </c>
      <c r="G35" s="17"/>
      <c r="H35" s="17">
        <f t="shared" si="5"/>
        <v>50670.803255504645</v>
      </c>
      <c r="I35" s="17"/>
      <c r="J35" s="17"/>
    </row>
    <row r="36" spans="1:10">
      <c r="C36" s="3">
        <v>10</v>
      </c>
      <c r="D36" s="17">
        <f t="shared" si="3"/>
        <v>36814.175381742141</v>
      </c>
      <c r="E36" s="17"/>
      <c r="F36" s="17">
        <f t="shared" si="4"/>
        <v>37918.600643194404</v>
      </c>
      <c r="G36" s="17"/>
      <c r="H36" s="17">
        <f t="shared" si="5"/>
        <v>52190.927353169784</v>
      </c>
      <c r="I36" s="17"/>
      <c r="J36" s="17"/>
    </row>
    <row r="37" spans="1:10">
      <c r="D37" s="17"/>
      <c r="E37" s="17"/>
      <c r="F37" s="17"/>
      <c r="G37" s="17"/>
      <c r="H37" s="17"/>
      <c r="I37" s="17"/>
      <c r="J37" s="17"/>
    </row>
    <row r="38" spans="1:10">
      <c r="D38" s="17"/>
      <c r="E38" s="17"/>
      <c r="F38" s="17"/>
      <c r="G38" s="17"/>
      <c r="H38" s="17"/>
      <c r="I38" s="17"/>
      <c r="J38" s="17"/>
    </row>
    <row r="39" spans="1:10">
      <c r="A39" s="3" t="s">
        <v>125</v>
      </c>
      <c r="D39" s="17"/>
      <c r="E39" s="17"/>
      <c r="F39" s="17"/>
      <c r="G39" s="17"/>
      <c r="H39" s="17"/>
      <c r="I39" s="17"/>
      <c r="J39" s="17"/>
    </row>
    <row r="40" spans="1:10">
      <c r="C40" s="3" t="s">
        <v>109</v>
      </c>
      <c r="D40" s="17"/>
      <c r="E40" s="17"/>
      <c r="F40" s="17"/>
      <c r="G40" s="17"/>
      <c r="H40" s="17"/>
      <c r="I40" s="17"/>
      <c r="J40" s="17"/>
    </row>
    <row r="41" spans="1:10">
      <c r="B41" s="3" t="str">
        <f>B3</f>
        <v>Level</v>
      </c>
      <c r="D41" s="17" t="s">
        <v>118</v>
      </c>
      <c r="E41" s="17"/>
      <c r="F41" s="17" t="s">
        <v>115</v>
      </c>
      <c r="G41" s="17"/>
      <c r="H41" s="17"/>
      <c r="I41" s="17"/>
      <c r="J41" s="17"/>
    </row>
    <row r="42" spans="1:10">
      <c r="C42" s="3">
        <v>1</v>
      </c>
      <c r="D42" s="17">
        <f>23000*0.99</f>
        <v>22770</v>
      </c>
      <c r="E42" s="17"/>
      <c r="F42" s="17">
        <f>D42+1000</f>
        <v>23770</v>
      </c>
      <c r="G42" s="17"/>
      <c r="H42" s="17"/>
      <c r="I42" s="17"/>
      <c r="J42" s="17"/>
    </row>
    <row r="43" spans="1:10">
      <c r="C43" s="3">
        <v>2</v>
      </c>
      <c r="D43" s="17">
        <f t="shared" ref="D43:D51" si="6">D42*1.03</f>
        <v>23453.100000000002</v>
      </c>
      <c r="E43" s="17"/>
      <c r="F43" s="17">
        <f t="shared" ref="F43:F51" si="7">D43*1.03</f>
        <v>24156.693000000003</v>
      </c>
      <c r="G43" s="17"/>
      <c r="H43" s="17"/>
      <c r="I43" s="17"/>
      <c r="J43" s="17"/>
    </row>
    <row r="44" spans="1:10">
      <c r="C44" s="3">
        <v>3</v>
      </c>
      <c r="D44" s="17">
        <f t="shared" si="6"/>
        <v>24156.693000000003</v>
      </c>
      <c r="E44" s="17"/>
      <c r="F44" s="17">
        <f t="shared" si="7"/>
        <v>24881.393790000002</v>
      </c>
      <c r="G44" s="17"/>
      <c r="H44" s="17"/>
      <c r="I44" s="17"/>
      <c r="J44" s="17"/>
    </row>
    <row r="45" spans="1:10">
      <c r="C45" s="3">
        <v>4</v>
      </c>
      <c r="D45" s="17">
        <f t="shared" si="6"/>
        <v>24881.393790000002</v>
      </c>
      <c r="E45" s="17"/>
      <c r="F45" s="17">
        <f t="shared" si="7"/>
        <v>25627.835603700001</v>
      </c>
      <c r="G45" s="17"/>
      <c r="H45" s="17"/>
      <c r="I45" s="17"/>
      <c r="J45" s="17"/>
    </row>
    <row r="46" spans="1:10">
      <c r="C46" s="3">
        <v>5</v>
      </c>
      <c r="D46" s="17">
        <f t="shared" si="6"/>
        <v>25627.835603700001</v>
      </c>
      <c r="E46" s="17"/>
      <c r="F46" s="17">
        <f t="shared" si="7"/>
        <v>26396.670671811004</v>
      </c>
      <c r="G46" s="17"/>
      <c r="H46" s="17"/>
      <c r="I46" s="17"/>
      <c r="J46" s="17"/>
    </row>
    <row r="47" spans="1:10">
      <c r="C47" s="3">
        <v>6</v>
      </c>
      <c r="D47" s="17">
        <f t="shared" si="6"/>
        <v>26396.670671811004</v>
      </c>
      <c r="E47" s="17"/>
      <c r="F47" s="17">
        <f t="shared" si="7"/>
        <v>27188.570791965336</v>
      </c>
      <c r="G47" s="17"/>
      <c r="H47" s="17"/>
      <c r="I47" s="17"/>
      <c r="J47" s="17"/>
    </row>
    <row r="48" spans="1:10">
      <c r="C48" s="3">
        <v>7</v>
      </c>
      <c r="D48" s="17">
        <f t="shared" si="6"/>
        <v>27188.570791965336</v>
      </c>
      <c r="E48" s="17"/>
      <c r="F48" s="17">
        <f t="shared" si="7"/>
        <v>28004.227915724296</v>
      </c>
      <c r="G48" s="17"/>
      <c r="H48" s="17"/>
      <c r="I48" s="17"/>
      <c r="J48" s="17"/>
    </row>
    <row r="49" spans="1:10">
      <c r="C49" s="3">
        <v>8</v>
      </c>
      <c r="D49" s="17">
        <f t="shared" si="6"/>
        <v>28004.227915724296</v>
      </c>
      <c r="E49" s="17"/>
      <c r="F49" s="17">
        <f t="shared" si="7"/>
        <v>28844.354753196025</v>
      </c>
      <c r="G49" s="17"/>
      <c r="H49" s="17"/>
      <c r="I49" s="17"/>
      <c r="J49" s="17"/>
    </row>
    <row r="50" spans="1:10">
      <c r="C50" s="3">
        <v>9</v>
      </c>
      <c r="D50" s="17">
        <f t="shared" si="6"/>
        <v>28844.354753196025</v>
      </c>
      <c r="E50" s="17"/>
      <c r="F50" s="17">
        <f t="shared" si="7"/>
        <v>29709.685395791905</v>
      </c>
      <c r="G50" s="17"/>
      <c r="H50" s="17"/>
      <c r="I50" s="17"/>
      <c r="J50" s="17"/>
    </row>
    <row r="51" spans="1:10">
      <c r="C51" s="3">
        <v>10</v>
      </c>
      <c r="D51" s="17">
        <f t="shared" si="6"/>
        <v>29709.685395791905</v>
      </c>
      <c r="E51" s="17"/>
      <c r="F51" s="17">
        <f t="shared" si="7"/>
        <v>30600.975957665662</v>
      </c>
      <c r="G51" s="17"/>
      <c r="H51" s="17"/>
      <c r="I51" s="17"/>
      <c r="J51" s="17"/>
    </row>
    <row r="52" spans="1:10">
      <c r="D52" s="17"/>
      <c r="E52" s="17"/>
      <c r="F52" s="17"/>
      <c r="G52" s="17"/>
      <c r="H52" s="17"/>
      <c r="I52" s="17"/>
      <c r="J52" s="17"/>
    </row>
    <row r="53" spans="1:10">
      <c r="D53" s="17"/>
      <c r="E53" s="17"/>
      <c r="F53" s="17"/>
      <c r="G53" s="17"/>
      <c r="H53" s="17"/>
      <c r="I53" s="17"/>
      <c r="J53" s="17"/>
    </row>
    <row r="54" spans="1:10">
      <c r="A54" s="3" t="s">
        <v>126</v>
      </c>
      <c r="D54" s="17"/>
      <c r="E54" s="17"/>
      <c r="F54" s="17"/>
      <c r="G54" s="17"/>
      <c r="H54" s="17"/>
      <c r="I54" s="17"/>
      <c r="J54" s="17"/>
    </row>
    <row r="55" spans="1:10">
      <c r="C55" s="3" t="s">
        <v>109</v>
      </c>
      <c r="D55" s="17"/>
      <c r="E55" s="17"/>
      <c r="F55" s="17"/>
      <c r="G55" s="17"/>
      <c r="H55" s="17"/>
      <c r="I55" s="17"/>
      <c r="J55" s="17"/>
    </row>
    <row r="56" spans="1:10">
      <c r="B56" s="3" t="str">
        <f>B41</f>
        <v>Level</v>
      </c>
      <c r="D56" s="17" t="s">
        <v>115</v>
      </c>
      <c r="E56" s="17"/>
      <c r="F56" s="17" t="s">
        <v>116</v>
      </c>
      <c r="G56" s="17"/>
      <c r="H56" s="17" t="s">
        <v>112</v>
      </c>
      <c r="I56" s="17"/>
      <c r="J56" s="17" t="s">
        <v>113</v>
      </c>
    </row>
    <row r="57" spans="1:10">
      <c r="C57" s="3">
        <v>1</v>
      </c>
      <c r="D57" s="17">
        <f>34000*0.99</f>
        <v>33660</v>
      </c>
      <c r="E57" s="17"/>
      <c r="F57" s="17">
        <f>D57+1000</f>
        <v>34660</v>
      </c>
      <c r="G57" s="17"/>
      <c r="H57" s="17">
        <f>F57+500</f>
        <v>35160</v>
      </c>
      <c r="I57" s="17"/>
      <c r="J57" s="17">
        <f>H57+750</f>
        <v>35910</v>
      </c>
    </row>
    <row r="58" spans="1:10">
      <c r="C58" s="3">
        <v>2</v>
      </c>
      <c r="D58" s="17">
        <f t="shared" ref="D58:D76" si="8">D57*1.03</f>
        <v>34669.800000000003</v>
      </c>
      <c r="E58" s="17"/>
      <c r="F58" s="17">
        <f t="shared" ref="F58:F66" si="9">D58*1.03</f>
        <v>35709.894000000008</v>
      </c>
      <c r="G58" s="17"/>
      <c r="H58" s="17">
        <f t="shared" ref="H58:H66" si="10">F58*1.03</f>
        <v>36781.190820000011</v>
      </c>
      <c r="I58" s="17"/>
      <c r="J58" s="17">
        <f t="shared" ref="J58:J66" si="11">H58*1.03</f>
        <v>37884.626544600011</v>
      </c>
    </row>
    <row r="59" spans="1:10">
      <c r="C59" s="3">
        <v>3</v>
      </c>
      <c r="D59" s="17">
        <f t="shared" si="8"/>
        <v>35709.894000000008</v>
      </c>
      <c r="E59" s="17"/>
      <c r="F59" s="17">
        <f t="shared" si="9"/>
        <v>36781.190820000011</v>
      </c>
      <c r="G59" s="17"/>
      <c r="H59" s="17">
        <f t="shared" si="10"/>
        <v>37884.626544600011</v>
      </c>
      <c r="I59" s="17"/>
      <c r="J59" s="17">
        <f t="shared" si="11"/>
        <v>39021.165340938009</v>
      </c>
    </row>
    <row r="60" spans="1:10">
      <c r="C60" s="3">
        <v>4</v>
      </c>
      <c r="D60" s="17">
        <f t="shared" si="8"/>
        <v>36781.190820000011</v>
      </c>
      <c r="E60" s="17"/>
      <c r="F60" s="17">
        <f t="shared" si="9"/>
        <v>37884.626544600011</v>
      </c>
      <c r="G60" s="17"/>
      <c r="H60" s="17">
        <f t="shared" si="10"/>
        <v>39021.165340938009</v>
      </c>
      <c r="I60" s="17"/>
      <c r="J60" s="17">
        <f t="shared" si="11"/>
        <v>40191.800301166149</v>
      </c>
    </row>
    <row r="61" spans="1:10">
      <c r="C61" s="3">
        <v>5</v>
      </c>
      <c r="D61" s="17">
        <f t="shared" si="8"/>
        <v>37884.626544600011</v>
      </c>
      <c r="E61" s="17"/>
      <c r="F61" s="17">
        <f t="shared" si="9"/>
        <v>39021.165340938009</v>
      </c>
      <c r="G61" s="17"/>
      <c r="H61" s="17">
        <f t="shared" si="10"/>
        <v>40191.800301166149</v>
      </c>
      <c r="I61" s="17"/>
      <c r="J61" s="17">
        <f t="shared" si="11"/>
        <v>41397.554310201136</v>
      </c>
    </row>
    <row r="62" spans="1:10">
      <c r="C62" s="3">
        <v>6</v>
      </c>
      <c r="D62" s="17">
        <f t="shared" si="8"/>
        <v>39021.165340938009</v>
      </c>
      <c r="E62" s="17"/>
      <c r="F62" s="17">
        <f t="shared" si="9"/>
        <v>40191.800301166149</v>
      </c>
      <c r="G62" s="17"/>
      <c r="H62" s="17">
        <f t="shared" si="10"/>
        <v>41397.554310201136</v>
      </c>
      <c r="I62" s="17"/>
      <c r="J62" s="17">
        <f t="shared" si="11"/>
        <v>42639.480939507172</v>
      </c>
    </row>
    <row r="63" spans="1:10">
      <c r="C63" s="3">
        <v>7</v>
      </c>
      <c r="D63" s="17">
        <f t="shared" si="8"/>
        <v>40191.800301166149</v>
      </c>
      <c r="E63" s="17"/>
      <c r="F63" s="17">
        <f t="shared" si="9"/>
        <v>41397.554310201136</v>
      </c>
      <c r="G63" s="17"/>
      <c r="H63" s="17">
        <f t="shared" si="10"/>
        <v>42639.480939507172</v>
      </c>
      <c r="I63" s="17"/>
      <c r="J63" s="17">
        <f t="shared" si="11"/>
        <v>43918.665367692389</v>
      </c>
    </row>
    <row r="64" spans="1:10">
      <c r="C64" s="3">
        <v>8</v>
      </c>
      <c r="D64" s="17">
        <f t="shared" si="8"/>
        <v>41397.554310201136</v>
      </c>
      <c r="E64" s="17"/>
      <c r="F64" s="17">
        <f t="shared" si="9"/>
        <v>42639.480939507172</v>
      </c>
      <c r="G64" s="17"/>
      <c r="H64" s="17">
        <f t="shared" si="10"/>
        <v>43918.665367692389</v>
      </c>
      <c r="I64" s="17"/>
      <c r="J64" s="17">
        <f t="shared" si="11"/>
        <v>45236.225328723165</v>
      </c>
    </row>
    <row r="65" spans="1:10">
      <c r="C65" s="3">
        <v>9</v>
      </c>
      <c r="D65" s="17">
        <f t="shared" si="8"/>
        <v>42639.480939507172</v>
      </c>
      <c r="E65" s="17"/>
      <c r="F65" s="17">
        <f t="shared" si="9"/>
        <v>43918.665367692389</v>
      </c>
      <c r="G65" s="17"/>
      <c r="H65" s="17">
        <f t="shared" si="10"/>
        <v>45236.225328723165</v>
      </c>
      <c r="I65" s="17"/>
      <c r="J65" s="17">
        <f t="shared" si="11"/>
        <v>46593.312088584862</v>
      </c>
    </row>
    <row r="66" spans="1:10">
      <c r="C66" s="3">
        <v>10</v>
      </c>
      <c r="D66" s="17">
        <f t="shared" si="8"/>
        <v>43918.665367692389</v>
      </c>
      <c r="E66" s="17"/>
      <c r="F66" s="17">
        <f t="shared" si="9"/>
        <v>45236.225328723165</v>
      </c>
      <c r="G66" s="17"/>
      <c r="H66" s="17">
        <f t="shared" si="10"/>
        <v>46593.312088584862</v>
      </c>
      <c r="I66" s="17"/>
      <c r="J66" s="17">
        <f t="shared" si="11"/>
        <v>47991.11145124241</v>
      </c>
    </row>
    <row r="67" spans="1:10">
      <c r="C67" s="3">
        <v>11</v>
      </c>
      <c r="D67" s="17">
        <f>D66*1.03</f>
        <v>45236.225328723165</v>
      </c>
      <c r="E67" s="17"/>
      <c r="F67" s="17">
        <f>D67*1.03</f>
        <v>46593.312088584862</v>
      </c>
      <c r="G67" s="17"/>
      <c r="H67" s="17">
        <f>F67*1.03</f>
        <v>47991.11145124241</v>
      </c>
      <c r="I67" s="17"/>
      <c r="J67" s="17">
        <f>H67*1.03</f>
        <v>49430.844794779681</v>
      </c>
    </row>
    <row r="68" spans="1:10">
      <c r="C68" s="3">
        <v>12</v>
      </c>
      <c r="D68" s="17">
        <f t="shared" si="8"/>
        <v>46593.312088584862</v>
      </c>
      <c r="E68" s="17"/>
      <c r="F68" s="17">
        <f t="shared" ref="F68:F76" si="12">D68*1.03</f>
        <v>47991.11145124241</v>
      </c>
      <c r="G68" s="17"/>
      <c r="H68" s="17">
        <f t="shared" ref="H68:H76" si="13">F68*1.03</f>
        <v>49430.844794779681</v>
      </c>
      <c r="I68" s="17"/>
      <c r="J68" s="17">
        <f t="shared" ref="J68:J76" si="14">H68*1.03</f>
        <v>50913.770138623076</v>
      </c>
    </row>
    <row r="69" spans="1:10">
      <c r="C69" s="3">
        <v>13</v>
      </c>
      <c r="D69" s="17">
        <f t="shared" si="8"/>
        <v>47991.11145124241</v>
      </c>
      <c r="E69" s="17"/>
      <c r="F69" s="17">
        <f t="shared" si="12"/>
        <v>49430.844794779681</v>
      </c>
      <c r="G69" s="17"/>
      <c r="H69" s="17">
        <f t="shared" si="13"/>
        <v>50913.770138623076</v>
      </c>
      <c r="I69" s="17"/>
      <c r="J69" s="17">
        <f t="shared" si="14"/>
        <v>52441.183242781772</v>
      </c>
    </row>
    <row r="70" spans="1:10">
      <c r="C70" s="3">
        <v>14</v>
      </c>
      <c r="D70" s="17">
        <f t="shared" si="8"/>
        <v>49430.844794779681</v>
      </c>
      <c r="E70" s="17"/>
      <c r="F70" s="17">
        <f t="shared" si="12"/>
        <v>50913.770138623076</v>
      </c>
      <c r="G70" s="17"/>
      <c r="H70" s="17">
        <f t="shared" si="13"/>
        <v>52441.183242781772</v>
      </c>
      <c r="I70" s="17"/>
      <c r="J70" s="17">
        <f t="shared" si="14"/>
        <v>54014.418740065223</v>
      </c>
    </row>
    <row r="71" spans="1:10">
      <c r="C71" s="3">
        <v>15</v>
      </c>
      <c r="D71" s="17">
        <f t="shared" si="8"/>
        <v>50913.770138623076</v>
      </c>
      <c r="E71" s="17"/>
      <c r="F71" s="17">
        <f t="shared" si="12"/>
        <v>52441.183242781772</v>
      </c>
      <c r="G71" s="17"/>
      <c r="H71" s="17">
        <f t="shared" si="13"/>
        <v>54014.418740065223</v>
      </c>
      <c r="I71" s="17"/>
      <c r="J71" s="17">
        <f t="shared" si="14"/>
        <v>55634.851302267183</v>
      </c>
    </row>
    <row r="72" spans="1:10">
      <c r="C72" s="3">
        <v>16</v>
      </c>
      <c r="D72" s="17">
        <f t="shared" si="8"/>
        <v>52441.183242781772</v>
      </c>
      <c r="E72" s="17"/>
      <c r="F72" s="17">
        <f t="shared" si="12"/>
        <v>54014.418740065223</v>
      </c>
      <c r="G72" s="17"/>
      <c r="H72" s="17">
        <f t="shared" si="13"/>
        <v>55634.851302267183</v>
      </c>
      <c r="I72" s="17"/>
      <c r="J72" s="17">
        <f t="shared" si="14"/>
        <v>57303.896841335198</v>
      </c>
    </row>
    <row r="73" spans="1:10">
      <c r="C73" s="3">
        <v>17</v>
      </c>
      <c r="D73" s="17">
        <f t="shared" si="8"/>
        <v>54014.418740065223</v>
      </c>
      <c r="E73" s="17"/>
      <c r="F73" s="17">
        <f t="shared" si="12"/>
        <v>55634.851302267183</v>
      </c>
      <c r="G73" s="17"/>
      <c r="H73" s="17">
        <f t="shared" si="13"/>
        <v>57303.896841335198</v>
      </c>
      <c r="I73" s="17"/>
      <c r="J73" s="17">
        <f t="shared" si="14"/>
        <v>59023.013746575256</v>
      </c>
    </row>
    <row r="74" spans="1:10">
      <c r="C74" s="3">
        <v>18</v>
      </c>
      <c r="D74" s="17">
        <f t="shared" si="8"/>
        <v>55634.851302267183</v>
      </c>
      <c r="E74" s="17"/>
      <c r="F74" s="17">
        <f t="shared" si="12"/>
        <v>57303.896841335198</v>
      </c>
      <c r="G74" s="17"/>
      <c r="H74" s="17">
        <f t="shared" si="13"/>
        <v>59023.013746575256</v>
      </c>
      <c r="I74" s="17"/>
      <c r="J74" s="17">
        <f t="shared" si="14"/>
        <v>60793.704158972512</v>
      </c>
    </row>
    <row r="75" spans="1:10">
      <c r="C75" s="3">
        <v>19</v>
      </c>
      <c r="D75" s="17">
        <f t="shared" si="8"/>
        <v>57303.896841335198</v>
      </c>
      <c r="E75" s="17"/>
      <c r="F75" s="17">
        <f t="shared" si="12"/>
        <v>59023.013746575256</v>
      </c>
      <c r="G75" s="17"/>
      <c r="H75" s="17">
        <f t="shared" si="13"/>
        <v>60793.704158972512</v>
      </c>
      <c r="I75" s="17"/>
      <c r="J75" s="17">
        <f t="shared" si="14"/>
        <v>62617.51528374169</v>
      </c>
    </row>
    <row r="76" spans="1:10">
      <c r="C76" s="3">
        <v>20</v>
      </c>
      <c r="D76" s="17">
        <f t="shared" si="8"/>
        <v>59023.013746575256</v>
      </c>
      <c r="E76" s="17"/>
      <c r="F76" s="17">
        <f t="shared" si="12"/>
        <v>60793.704158972512</v>
      </c>
      <c r="G76" s="17"/>
      <c r="H76" s="17">
        <f t="shared" si="13"/>
        <v>62617.51528374169</v>
      </c>
      <c r="I76" s="17"/>
      <c r="J76" s="17">
        <f t="shared" si="14"/>
        <v>64496.040742253943</v>
      </c>
    </row>
    <row r="77" spans="1:10">
      <c r="C77" s="3">
        <v>21</v>
      </c>
      <c r="D77" s="17">
        <f>D76*1.03</f>
        <v>60793.704158972512</v>
      </c>
      <c r="E77" s="17"/>
      <c r="F77" s="17">
        <f>D77*1.03</f>
        <v>62617.51528374169</v>
      </c>
      <c r="G77" s="17"/>
      <c r="H77" s="17">
        <f>F77*1.03</f>
        <v>64496.040742253943</v>
      </c>
      <c r="I77" s="17"/>
      <c r="J77" s="17">
        <f>H77*1.03</f>
        <v>66430.921964521563</v>
      </c>
    </row>
    <row r="78" spans="1:10">
      <c r="D78" s="17"/>
      <c r="E78" s="17"/>
      <c r="F78" s="17"/>
      <c r="G78" s="17"/>
      <c r="H78" s="17"/>
      <c r="I78" s="17"/>
      <c r="J78" s="17"/>
    </row>
    <row r="79" spans="1:10">
      <c r="A79" s="3" t="s">
        <v>127</v>
      </c>
      <c r="D79" s="17"/>
      <c r="E79" s="17"/>
      <c r="F79" s="17"/>
      <c r="G79" s="17"/>
      <c r="H79" s="17"/>
      <c r="I79" s="17"/>
      <c r="J79" s="17"/>
    </row>
    <row r="80" spans="1:10">
      <c r="C80" s="3" t="s">
        <v>109</v>
      </c>
      <c r="D80" s="17"/>
      <c r="E80" s="17"/>
      <c r="F80" s="17"/>
      <c r="G80" s="17"/>
      <c r="H80" s="17"/>
      <c r="I80" s="17"/>
      <c r="J80" s="17"/>
    </row>
    <row r="81" spans="2:10">
      <c r="B81" s="3" t="str">
        <f>B56</f>
        <v>Level</v>
      </c>
      <c r="D81" s="17" t="s">
        <v>128</v>
      </c>
      <c r="E81" s="17"/>
      <c r="F81" s="17" t="s">
        <v>129</v>
      </c>
      <c r="G81" s="17"/>
      <c r="H81" s="17" t="s">
        <v>130</v>
      </c>
      <c r="I81" s="17"/>
      <c r="J81" s="17"/>
    </row>
    <row r="82" spans="2:10">
      <c r="C82" s="3">
        <v>1</v>
      </c>
      <c r="D82" s="17">
        <f>15630*0.99</f>
        <v>15473.7</v>
      </c>
      <c r="E82" s="17"/>
      <c r="F82" s="17">
        <f>21000*0.99</f>
        <v>20790</v>
      </c>
      <c r="G82" s="17"/>
      <c r="H82" s="17">
        <f>F82+2000</f>
        <v>22790</v>
      </c>
      <c r="I82" s="17"/>
      <c r="J82" s="17"/>
    </row>
    <row r="83" spans="2:10">
      <c r="C83" s="3">
        <v>2</v>
      </c>
      <c r="D83" s="17">
        <f t="shared" ref="D83:D100" si="15">D82*1.03</f>
        <v>15937.911000000002</v>
      </c>
      <c r="E83" s="17"/>
      <c r="F83" s="17">
        <f t="shared" ref="F83:F100" si="16">F82*1.03</f>
        <v>21413.7</v>
      </c>
      <c r="G83" s="17"/>
      <c r="H83" s="17">
        <f t="shared" ref="H83:H100" si="17">H82*1.03</f>
        <v>23473.7</v>
      </c>
      <c r="I83" s="17"/>
      <c r="J83" s="17"/>
    </row>
    <row r="84" spans="2:10">
      <c r="C84" s="3">
        <v>3</v>
      </c>
      <c r="D84" s="17">
        <f t="shared" si="15"/>
        <v>16416.048330000001</v>
      </c>
      <c r="E84" s="17"/>
      <c r="F84" s="17">
        <f t="shared" si="16"/>
        <v>22056.111000000001</v>
      </c>
      <c r="G84" s="17"/>
      <c r="H84" s="17">
        <f t="shared" si="17"/>
        <v>24177.911</v>
      </c>
      <c r="I84" s="17"/>
      <c r="J84" s="17"/>
    </row>
    <row r="85" spans="2:10">
      <c r="C85" s="3">
        <v>4</v>
      </c>
      <c r="D85" s="17">
        <f t="shared" si="15"/>
        <v>16908.529779900004</v>
      </c>
      <c r="E85" s="17"/>
      <c r="F85" s="17">
        <f t="shared" si="16"/>
        <v>22717.794330000001</v>
      </c>
      <c r="G85" s="17"/>
      <c r="H85" s="17">
        <f t="shared" si="17"/>
        <v>24903.248330000002</v>
      </c>
      <c r="I85" s="17"/>
      <c r="J85" s="17"/>
    </row>
    <row r="86" spans="2:10">
      <c r="C86" s="3">
        <v>5</v>
      </c>
      <c r="D86" s="17">
        <f t="shared" si="15"/>
        <v>17415.785673297003</v>
      </c>
      <c r="E86" s="17"/>
      <c r="F86" s="17">
        <f t="shared" si="16"/>
        <v>23399.3281599</v>
      </c>
      <c r="G86" s="17"/>
      <c r="H86" s="17">
        <f t="shared" si="17"/>
        <v>25650.345779900003</v>
      </c>
      <c r="I86" s="17"/>
      <c r="J86" s="17"/>
    </row>
    <row r="87" spans="2:10" s="2" customFormat="1">
      <c r="C87" s="2">
        <v>6</v>
      </c>
      <c r="D87" s="18">
        <f t="shared" si="15"/>
        <v>17938.259243495915</v>
      </c>
      <c r="E87" s="18"/>
      <c r="F87" s="18">
        <f t="shared" si="16"/>
        <v>24101.308004697003</v>
      </c>
      <c r="G87" s="18"/>
      <c r="H87" s="18">
        <f t="shared" si="17"/>
        <v>26419.856153297002</v>
      </c>
      <c r="I87" s="18"/>
      <c r="J87" s="18"/>
    </row>
    <row r="88" spans="2:10">
      <c r="C88" s="3">
        <v>7</v>
      </c>
      <c r="D88" s="17">
        <f t="shared" si="15"/>
        <v>18476.407020800794</v>
      </c>
      <c r="E88" s="17"/>
      <c r="F88" s="17">
        <f t="shared" si="16"/>
        <v>24824.347244837914</v>
      </c>
      <c r="G88" s="17"/>
      <c r="H88" s="17">
        <f t="shared" si="17"/>
        <v>27212.451837895911</v>
      </c>
      <c r="I88" s="17"/>
      <c r="J88" s="17"/>
    </row>
    <row r="89" spans="2:10">
      <c r="C89" s="3">
        <v>8</v>
      </c>
      <c r="D89" s="17">
        <f t="shared" si="15"/>
        <v>19030.69923142482</v>
      </c>
      <c r="E89" s="17"/>
      <c r="F89" s="17">
        <f t="shared" si="16"/>
        <v>25569.077662183052</v>
      </c>
      <c r="G89" s="17"/>
      <c r="H89" s="17">
        <f t="shared" si="17"/>
        <v>28028.825393032788</v>
      </c>
      <c r="I89" s="17"/>
      <c r="J89" s="17"/>
    </row>
    <row r="90" spans="2:10">
      <c r="C90" s="3">
        <v>9</v>
      </c>
      <c r="D90" s="17">
        <f t="shared" si="15"/>
        <v>19601.620208367563</v>
      </c>
      <c r="E90" s="17"/>
      <c r="F90" s="17">
        <f t="shared" si="16"/>
        <v>26336.149992048544</v>
      </c>
      <c r="G90" s="17"/>
      <c r="H90" s="17">
        <f t="shared" si="17"/>
        <v>28869.690154823773</v>
      </c>
      <c r="I90" s="17"/>
      <c r="J90" s="17"/>
    </row>
    <row r="91" spans="2:10">
      <c r="C91" s="3">
        <v>10</v>
      </c>
      <c r="D91" s="17">
        <f t="shared" si="15"/>
        <v>20189.668814618592</v>
      </c>
      <c r="E91" s="17"/>
      <c r="F91" s="17">
        <f t="shared" si="16"/>
        <v>27126.234491810003</v>
      </c>
      <c r="G91" s="17"/>
      <c r="H91" s="17">
        <f t="shared" si="17"/>
        <v>29735.780859468487</v>
      </c>
      <c r="I91" s="17"/>
      <c r="J91" s="17"/>
    </row>
    <row r="92" spans="2:10">
      <c r="C92" s="3">
        <v>11</v>
      </c>
      <c r="D92" s="17">
        <f t="shared" si="15"/>
        <v>20795.358879057148</v>
      </c>
      <c r="E92" s="17"/>
      <c r="F92" s="17">
        <f t="shared" si="16"/>
        <v>27940.021526564302</v>
      </c>
      <c r="G92" s="17"/>
      <c r="H92" s="17">
        <f t="shared" si="17"/>
        <v>30627.854285252542</v>
      </c>
      <c r="I92" s="17"/>
      <c r="J92" s="17"/>
    </row>
    <row r="93" spans="2:10">
      <c r="C93" s="3">
        <v>12</v>
      </c>
      <c r="D93" s="17">
        <f t="shared" si="15"/>
        <v>21419.219645428864</v>
      </c>
      <c r="E93" s="17"/>
      <c r="F93" s="17">
        <f t="shared" si="16"/>
        <v>28778.222172361231</v>
      </c>
      <c r="G93" s="17"/>
      <c r="H93" s="17">
        <f t="shared" si="17"/>
        <v>31546.689913810118</v>
      </c>
      <c r="I93" s="17"/>
      <c r="J93" s="17"/>
    </row>
    <row r="94" spans="2:10">
      <c r="C94" s="3">
        <v>13</v>
      </c>
      <c r="D94" s="17">
        <f t="shared" si="15"/>
        <v>22061.796234791731</v>
      </c>
      <c r="E94" s="17"/>
      <c r="F94" s="17">
        <f t="shared" si="16"/>
        <v>29641.568837532068</v>
      </c>
      <c r="G94" s="17"/>
      <c r="H94" s="17">
        <f t="shared" si="17"/>
        <v>32493.090611224423</v>
      </c>
      <c r="I94" s="17"/>
      <c r="J94" s="17"/>
    </row>
    <row r="95" spans="2:10">
      <c r="C95" s="3">
        <v>14</v>
      </c>
      <c r="D95" s="17">
        <f t="shared" si="15"/>
        <v>22723.650121835482</v>
      </c>
      <c r="E95" s="17"/>
      <c r="F95" s="17">
        <f t="shared" si="16"/>
        <v>30530.815902658032</v>
      </c>
      <c r="G95" s="17"/>
      <c r="H95" s="17">
        <f t="shared" si="17"/>
        <v>33467.883329561155</v>
      </c>
      <c r="I95" s="17"/>
      <c r="J95" s="17"/>
    </row>
    <row r="96" spans="2:10">
      <c r="C96" s="3">
        <v>15</v>
      </c>
      <c r="D96" s="17">
        <f t="shared" si="15"/>
        <v>23405.359625490546</v>
      </c>
      <c r="E96" s="17"/>
      <c r="F96" s="17">
        <f t="shared" si="16"/>
        <v>31446.740379737774</v>
      </c>
      <c r="G96" s="17"/>
      <c r="H96" s="17">
        <f t="shared" si="17"/>
        <v>34471.919829447994</v>
      </c>
      <c r="I96" s="17"/>
      <c r="J96" s="17"/>
    </row>
    <row r="97" spans="1:10">
      <c r="C97" s="3">
        <v>16</v>
      </c>
      <c r="D97" s="17">
        <f t="shared" si="15"/>
        <v>24107.520414255265</v>
      </c>
      <c r="E97" s="17"/>
      <c r="F97" s="17">
        <f t="shared" si="16"/>
        <v>32390.142591129908</v>
      </c>
      <c r="G97" s="17"/>
      <c r="H97" s="17">
        <f t="shared" si="17"/>
        <v>35506.077424331437</v>
      </c>
      <c r="I97" s="17"/>
      <c r="J97" s="17"/>
    </row>
    <row r="98" spans="1:10">
      <c r="C98" s="3">
        <v>17</v>
      </c>
      <c r="D98" s="17">
        <f t="shared" si="15"/>
        <v>24830.746026682922</v>
      </c>
      <c r="E98" s="17"/>
      <c r="F98" s="17">
        <f t="shared" si="16"/>
        <v>33361.84686886381</v>
      </c>
      <c r="G98" s="17"/>
      <c r="H98" s="17">
        <f t="shared" si="17"/>
        <v>36571.259747061384</v>
      </c>
      <c r="I98" s="17"/>
      <c r="J98" s="17"/>
    </row>
    <row r="99" spans="1:10">
      <c r="C99" s="3">
        <v>18</v>
      </c>
      <c r="D99" s="17">
        <f t="shared" si="15"/>
        <v>25575.668407483412</v>
      </c>
      <c r="E99" s="17"/>
      <c r="F99" s="17">
        <f t="shared" si="16"/>
        <v>34362.702274929725</v>
      </c>
      <c r="G99" s="17"/>
      <c r="H99" s="17">
        <f t="shared" si="17"/>
        <v>37668.397539473226</v>
      </c>
      <c r="I99" s="17"/>
      <c r="J99" s="17"/>
    </row>
    <row r="100" spans="1:10">
      <c r="C100" s="3">
        <v>19</v>
      </c>
      <c r="D100" s="17">
        <f t="shared" si="15"/>
        <v>26342.938459707915</v>
      </c>
      <c r="E100" s="17"/>
      <c r="F100" s="17">
        <f t="shared" si="16"/>
        <v>35393.583343177619</v>
      </c>
      <c r="G100" s="17"/>
      <c r="H100" s="17">
        <f t="shared" si="17"/>
        <v>38798.449465657424</v>
      </c>
      <c r="I100" s="17"/>
      <c r="J100" s="17"/>
    </row>
    <row r="101" spans="1:10">
      <c r="D101" s="17"/>
      <c r="E101" s="17"/>
      <c r="F101" s="17"/>
      <c r="G101" s="17"/>
      <c r="H101" s="17"/>
      <c r="I101" s="17"/>
      <c r="J101" s="17"/>
    </row>
    <row r="102" spans="1:10">
      <c r="D102" s="17"/>
      <c r="E102" s="17"/>
      <c r="F102" s="17"/>
      <c r="G102" s="17"/>
      <c r="H102" s="17"/>
      <c r="I102" s="17"/>
      <c r="J102" s="17"/>
    </row>
    <row r="103" spans="1:10">
      <c r="A103" s="3" t="s">
        <v>131</v>
      </c>
      <c r="D103" s="17"/>
      <c r="E103" s="17"/>
      <c r="F103" s="17"/>
      <c r="G103" s="17"/>
      <c r="H103" s="17"/>
      <c r="I103" s="17"/>
      <c r="J103" s="17"/>
    </row>
    <row r="104" spans="1:10">
      <c r="C104" s="3" t="s">
        <v>109</v>
      </c>
      <c r="D104" s="17"/>
      <c r="E104" s="17"/>
      <c r="F104" s="17"/>
      <c r="G104" s="17"/>
      <c r="H104" s="17"/>
      <c r="I104" s="17"/>
      <c r="J104" s="17"/>
    </row>
    <row r="105" spans="1:10">
      <c r="B105" s="3" t="str">
        <f>B81</f>
        <v>Level</v>
      </c>
      <c r="D105" s="17" t="s">
        <v>118</v>
      </c>
      <c r="E105" s="17"/>
      <c r="F105" s="17" t="s">
        <v>132</v>
      </c>
      <c r="G105" s="17"/>
      <c r="H105" s="17" t="s">
        <v>133</v>
      </c>
      <c r="I105" s="17"/>
      <c r="J105" s="17"/>
    </row>
    <row r="106" spans="1:10">
      <c r="C106" s="3">
        <v>1</v>
      </c>
      <c r="D106" s="17">
        <f>30500*0.99</f>
        <v>30195</v>
      </c>
      <c r="E106" s="17"/>
      <c r="F106" s="17">
        <v>32000</v>
      </c>
      <c r="G106" s="17"/>
      <c r="H106" s="17">
        <f>F106+500</f>
        <v>32500</v>
      </c>
      <c r="I106" s="17"/>
      <c r="J106" s="17"/>
    </row>
    <row r="107" spans="1:10">
      <c r="C107" s="3">
        <v>2</v>
      </c>
      <c r="D107" s="17">
        <f t="shared" ref="D107:D115" si="18">D106*1.03</f>
        <v>31100.850000000002</v>
      </c>
      <c r="E107" s="17"/>
      <c r="F107" s="17">
        <f t="shared" ref="F107:F115" si="19">D107*1.03</f>
        <v>32033.875500000002</v>
      </c>
      <c r="G107" s="17"/>
      <c r="H107" s="17">
        <f t="shared" ref="H107:H115" si="20">F107*1.03</f>
        <v>32994.891765</v>
      </c>
      <c r="I107" s="17"/>
      <c r="J107" s="17"/>
    </row>
    <row r="108" spans="1:10">
      <c r="C108" s="3">
        <v>3</v>
      </c>
      <c r="D108" s="17">
        <f t="shared" si="18"/>
        <v>32033.875500000002</v>
      </c>
      <c r="E108" s="17"/>
      <c r="F108" s="17">
        <f t="shared" si="19"/>
        <v>32994.891765</v>
      </c>
      <c r="G108" s="17"/>
      <c r="H108" s="17">
        <f t="shared" si="20"/>
        <v>33984.738517949998</v>
      </c>
      <c r="I108" s="17"/>
      <c r="J108" s="17"/>
    </row>
    <row r="109" spans="1:10">
      <c r="C109" s="3">
        <v>4</v>
      </c>
      <c r="D109" s="17">
        <f t="shared" si="18"/>
        <v>32994.891765</v>
      </c>
      <c r="E109" s="17"/>
      <c r="F109" s="17">
        <f t="shared" si="19"/>
        <v>33984.738517949998</v>
      </c>
      <c r="G109" s="17"/>
      <c r="H109" s="17">
        <f t="shared" si="20"/>
        <v>35004.280673488502</v>
      </c>
      <c r="I109" s="17"/>
      <c r="J109" s="17"/>
    </row>
    <row r="110" spans="1:10">
      <c r="C110" s="3">
        <v>5</v>
      </c>
      <c r="D110" s="17">
        <f t="shared" si="18"/>
        <v>33984.738517949998</v>
      </c>
      <c r="E110" s="17"/>
      <c r="F110" s="17">
        <f t="shared" si="19"/>
        <v>35004.280673488502</v>
      </c>
      <c r="G110" s="17"/>
      <c r="H110" s="17">
        <f t="shared" si="20"/>
        <v>36054.409093693161</v>
      </c>
      <c r="I110" s="17"/>
      <c r="J110" s="17"/>
    </row>
    <row r="111" spans="1:10">
      <c r="C111" s="3">
        <v>6</v>
      </c>
      <c r="D111" s="17">
        <f t="shared" si="18"/>
        <v>35004.280673488502</v>
      </c>
      <c r="E111" s="17"/>
      <c r="F111" s="17">
        <f t="shared" si="19"/>
        <v>36054.409093693161</v>
      </c>
      <c r="G111" s="17"/>
      <c r="H111" s="17">
        <f t="shared" si="20"/>
        <v>37136.04136650396</v>
      </c>
      <c r="I111" s="17"/>
      <c r="J111" s="17"/>
    </row>
    <row r="112" spans="1:10">
      <c r="C112" s="3">
        <v>7</v>
      </c>
      <c r="D112" s="17">
        <f t="shared" si="18"/>
        <v>36054.409093693161</v>
      </c>
      <c r="E112" s="17"/>
      <c r="F112" s="17">
        <f t="shared" si="19"/>
        <v>37136.04136650396</v>
      </c>
      <c r="G112" s="17"/>
      <c r="H112" s="17">
        <f t="shared" si="20"/>
        <v>38250.122607499077</v>
      </c>
      <c r="I112" s="17"/>
      <c r="J112" s="17"/>
    </row>
    <row r="113" spans="3:10">
      <c r="C113" s="3">
        <v>8</v>
      </c>
      <c r="D113" s="17">
        <f t="shared" si="18"/>
        <v>37136.04136650396</v>
      </c>
      <c r="E113" s="17"/>
      <c r="F113" s="17">
        <f t="shared" si="19"/>
        <v>38250.122607499077</v>
      </c>
      <c r="G113" s="17"/>
      <c r="H113" s="17">
        <f t="shared" si="20"/>
        <v>39397.626285724051</v>
      </c>
      <c r="I113" s="17"/>
      <c r="J113" s="17"/>
    </row>
    <row r="114" spans="3:10">
      <c r="C114" s="3">
        <v>9</v>
      </c>
      <c r="D114" s="17">
        <f t="shared" si="18"/>
        <v>38250.122607499077</v>
      </c>
      <c r="E114" s="17"/>
      <c r="F114" s="17">
        <f t="shared" si="19"/>
        <v>39397.626285724051</v>
      </c>
      <c r="G114" s="17"/>
      <c r="H114" s="17">
        <f t="shared" si="20"/>
        <v>40579.555074295771</v>
      </c>
      <c r="I114" s="17"/>
      <c r="J114" s="17"/>
    </row>
    <row r="115" spans="3:10">
      <c r="C115" s="3">
        <v>10</v>
      </c>
      <c r="D115" s="17">
        <f t="shared" si="18"/>
        <v>39397.626285724051</v>
      </c>
      <c r="E115" s="17"/>
      <c r="F115" s="17">
        <f t="shared" si="19"/>
        <v>40579.555074295771</v>
      </c>
      <c r="G115" s="17"/>
      <c r="H115" s="17">
        <f t="shared" si="20"/>
        <v>41796.941726524645</v>
      </c>
      <c r="I115" s="17"/>
      <c r="J115" s="17"/>
    </row>
    <row r="132" s="2" customFormat="1"/>
    <row r="214" s="2" customFormat="1"/>
    <row r="217" s="2" customFormat="1"/>
  </sheetData>
  <phoneticPr fontId="24" type="noConversion"/>
  <pageMargins left="0.75" right="0.75" top="1.21" bottom="0.55000000000000004" header="0.17" footer="0.17"/>
  <pageSetup orientation="portrait"/>
  <headerFooter alignWithMargins="0">
    <oddHeader>&amp;C&amp;"Arial,Bold"&amp;18International School of Louisiana
Staff Salary Schedule '13 - 2014
&amp;A&amp;RPrinted &amp;D&amp;T</oddHeader>
    <oddFooter>&amp;L&amp;6&amp;Z&amp;F&amp;RPage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P107"/>
  <sheetViews>
    <sheetView topLeftCell="D1" workbookViewId="0">
      <selection activeCell="K15" sqref="K15"/>
    </sheetView>
  </sheetViews>
  <sheetFormatPr baseColWidth="10" defaultColWidth="8.7109375" defaultRowHeight="14" x14ac:dyDescent="0"/>
  <cols>
    <col min="1" max="1" width="19" style="135" hidden="1" customWidth="1"/>
    <col min="2" max="2" width="13.28515625" style="135" hidden="1" customWidth="1"/>
    <col min="3" max="3" width="10.85546875" style="135" hidden="1" customWidth="1"/>
    <col min="4" max="4" width="26.7109375" style="144" customWidth="1"/>
    <col min="5" max="6" width="14.28515625" style="144" customWidth="1"/>
    <col min="7" max="7" width="12.42578125" style="144" customWidth="1"/>
    <col min="8" max="8" width="0.85546875" style="144" customWidth="1"/>
    <col min="9" max="9" width="12.42578125" style="151" customWidth="1"/>
    <col min="10" max="10" width="0.85546875" style="151" customWidth="1"/>
    <col min="11" max="11" width="12.5703125" style="151" customWidth="1"/>
    <col min="12" max="12" width="0.5703125" style="151" customWidth="1"/>
    <col min="13" max="13" width="11.28515625" style="135" customWidth="1"/>
    <col min="14" max="14" width="11.7109375" style="135" bestFit="1" customWidth="1"/>
    <col min="15" max="16384" width="8.7109375" style="135"/>
  </cols>
  <sheetData>
    <row r="1" spans="1:14" ht="15">
      <c r="A1" s="131" t="s">
        <v>457</v>
      </c>
      <c r="B1" s="131"/>
      <c r="C1" s="131"/>
      <c r="D1" s="132"/>
      <c r="E1" s="132"/>
      <c r="F1" s="132"/>
      <c r="G1" s="133"/>
      <c r="H1" s="132"/>
      <c r="I1" s="134"/>
      <c r="J1" s="134"/>
      <c r="K1" s="134"/>
      <c r="L1" s="134"/>
      <c r="M1" s="131"/>
      <c r="N1" s="131"/>
    </row>
    <row r="2" spans="1:14" ht="15">
      <c r="A2" s="131" t="s">
        <v>595</v>
      </c>
      <c r="B2" s="131"/>
      <c r="C2" s="131"/>
      <c r="D2" s="132"/>
      <c r="E2" s="132"/>
      <c r="F2" s="132"/>
      <c r="G2" s="133"/>
      <c r="H2" s="132"/>
      <c r="I2" s="134"/>
      <c r="J2" s="134"/>
      <c r="K2" s="134"/>
      <c r="L2" s="134"/>
      <c r="M2" s="131"/>
      <c r="N2" s="131"/>
    </row>
    <row r="3" spans="1:14" ht="15">
      <c r="A3" s="136">
        <v>41046</v>
      </c>
      <c r="B3" s="131"/>
      <c r="C3" s="131"/>
      <c r="D3" s="132"/>
      <c r="E3" s="132"/>
      <c r="F3" s="132"/>
      <c r="G3" s="133"/>
      <c r="H3" s="132"/>
      <c r="I3" s="134"/>
      <c r="J3" s="134"/>
      <c r="K3" s="134"/>
      <c r="L3" s="134"/>
      <c r="M3" s="131"/>
      <c r="N3" s="131"/>
    </row>
    <row r="4" spans="1:14" s="137" customFormat="1">
      <c r="A4" s="137" t="s">
        <v>458</v>
      </c>
      <c r="B4" s="137" t="s">
        <v>459</v>
      </c>
      <c r="C4" s="137" t="s">
        <v>460</v>
      </c>
      <c r="D4" s="138" t="s">
        <v>461</v>
      </c>
      <c r="E4" s="138" t="s">
        <v>532</v>
      </c>
      <c r="F4" s="138" t="s">
        <v>533</v>
      </c>
      <c r="G4" s="139" t="s">
        <v>615</v>
      </c>
      <c r="H4" s="140"/>
      <c r="I4" s="141" t="s">
        <v>616</v>
      </c>
      <c r="J4" s="142"/>
      <c r="K4" s="143" t="s">
        <v>462</v>
      </c>
      <c r="L4" s="142"/>
      <c r="M4" s="137" t="s">
        <v>463</v>
      </c>
      <c r="N4" s="137" t="s">
        <v>464</v>
      </c>
    </row>
    <row r="5" spans="1:14">
      <c r="A5" s="135" t="s">
        <v>465</v>
      </c>
      <c r="D5" s="144" t="s">
        <v>466</v>
      </c>
      <c r="E5" s="144" t="s">
        <v>534</v>
      </c>
      <c r="F5" s="144" t="s">
        <v>181</v>
      </c>
      <c r="G5" s="145">
        <v>46178.577000000005</v>
      </c>
      <c r="H5" s="146"/>
      <c r="I5" s="145">
        <f>SUM('AC-SCH'!F137)</f>
        <v>48078.934310000004</v>
      </c>
      <c r="J5" s="147"/>
      <c r="K5" s="148">
        <f t="shared" ref="K5:K21" si="0">1-SUM(G5/I5)</f>
        <v>3.952577854049355E-2</v>
      </c>
      <c r="L5" s="147"/>
      <c r="M5" s="135" t="s">
        <v>467</v>
      </c>
    </row>
    <row r="6" spans="1:14">
      <c r="A6" s="135" t="s">
        <v>468</v>
      </c>
      <c r="D6" s="144" t="s">
        <v>469</v>
      </c>
      <c r="E6" s="144" t="s">
        <v>535</v>
      </c>
      <c r="F6" s="144" t="s">
        <v>536</v>
      </c>
      <c r="G6" s="149">
        <v>23867.314723097999</v>
      </c>
      <c r="H6" s="146"/>
      <c r="I6" s="145">
        <f>SUM('AC-SCH'!D85)</f>
        <v>24583.33416479094</v>
      </c>
      <c r="J6" s="147"/>
      <c r="K6" s="148">
        <f t="shared" si="0"/>
        <v>2.9126213592232997E-2</v>
      </c>
      <c r="L6" s="147"/>
      <c r="M6" s="135" t="s">
        <v>467</v>
      </c>
    </row>
    <row r="7" spans="1:14">
      <c r="A7" s="135" t="s">
        <v>468</v>
      </c>
      <c r="D7" s="144" t="s">
        <v>469</v>
      </c>
      <c r="E7" s="144" t="s">
        <v>537</v>
      </c>
      <c r="F7" s="144" t="s">
        <v>536</v>
      </c>
      <c r="G7" s="149">
        <v>30087.809398840898</v>
      </c>
      <c r="H7" s="146"/>
      <c r="I7" s="149">
        <f>SUBTOTAL(9,'AC-SCH'!D93)</f>
        <v>30990.443680806125</v>
      </c>
      <c r="J7" s="147"/>
      <c r="K7" s="148">
        <f t="shared" si="0"/>
        <v>2.9126213592232997E-2</v>
      </c>
      <c r="L7" s="147"/>
      <c r="M7" s="135" t="s">
        <v>467</v>
      </c>
    </row>
    <row r="8" spans="1:14">
      <c r="A8" s="135" t="s">
        <v>468</v>
      </c>
      <c r="D8" s="144" t="s">
        <v>469</v>
      </c>
      <c r="E8" s="144" t="s">
        <v>537</v>
      </c>
      <c r="F8" s="144" t="s">
        <v>536</v>
      </c>
      <c r="G8" s="149">
        <v>28429.65005914147</v>
      </c>
      <c r="H8" s="146"/>
      <c r="I8" s="149">
        <f>SUBTOTAL(9,'AC-SCH'!D93)</f>
        <v>30990.443680806125</v>
      </c>
      <c r="J8" s="147"/>
      <c r="K8" s="148">
        <f t="shared" si="0"/>
        <v>8.2631718604618709E-2</v>
      </c>
      <c r="L8" s="147"/>
      <c r="M8" s="135" t="s">
        <v>467</v>
      </c>
    </row>
    <row r="9" spans="1:14">
      <c r="A9" s="135" t="s">
        <v>468</v>
      </c>
      <c r="D9" s="144" t="s">
        <v>471</v>
      </c>
      <c r="E9" s="144" t="s">
        <v>535</v>
      </c>
      <c r="F9" s="144" t="s">
        <v>536</v>
      </c>
      <c r="G9" s="149">
        <v>43399.660754687487</v>
      </c>
      <c r="H9" s="146"/>
      <c r="I9" s="145">
        <f>SUBTOTAL(9,'AC-SCH'!F44)</f>
        <v>44459.652273554668</v>
      </c>
      <c r="J9" s="147"/>
      <c r="K9" s="148">
        <f t="shared" si="0"/>
        <v>2.3841651129999475E-2</v>
      </c>
      <c r="L9" s="147"/>
      <c r="M9" s="135" t="s">
        <v>467</v>
      </c>
    </row>
    <row r="10" spans="1:14">
      <c r="A10" s="135" t="s">
        <v>468</v>
      </c>
      <c r="D10" s="144" t="s">
        <v>471</v>
      </c>
      <c r="E10" s="144" t="s">
        <v>537</v>
      </c>
      <c r="F10" s="144" t="s">
        <v>536</v>
      </c>
      <c r="G10" s="149">
        <v>45546.143580393531</v>
      </c>
      <c r="H10" s="146"/>
      <c r="I10" s="149">
        <f>SUBTOTAL(9,'AC-SCH'!F45)</f>
        <v>45546.143580393531</v>
      </c>
      <c r="J10" s="147"/>
      <c r="K10" s="148">
        <f t="shared" si="0"/>
        <v>0</v>
      </c>
      <c r="L10" s="147"/>
      <c r="M10" s="135" t="s">
        <v>467</v>
      </c>
    </row>
    <row r="11" spans="1:14">
      <c r="A11" s="135" t="s">
        <v>468</v>
      </c>
      <c r="D11" s="144" t="s">
        <v>471</v>
      </c>
      <c r="E11" s="144" t="s">
        <v>537</v>
      </c>
      <c r="F11" s="144" t="s">
        <v>536</v>
      </c>
      <c r="G11" s="149">
        <v>56632.029171525392</v>
      </c>
      <c r="H11" s="146"/>
      <c r="I11" s="149">
        <f>SUBTOTAL(9,'AC-SCH'!F55)</f>
        <v>58022.829900813522</v>
      </c>
      <c r="J11" s="147"/>
      <c r="K11" s="148">
        <f t="shared" si="0"/>
        <v>2.3969887915939569E-2</v>
      </c>
      <c r="L11" s="147"/>
      <c r="M11" s="135" t="s">
        <v>467</v>
      </c>
    </row>
    <row r="12" spans="1:14">
      <c r="A12" s="135" t="s">
        <v>472</v>
      </c>
      <c r="D12" s="144" t="s">
        <v>469</v>
      </c>
      <c r="E12" s="144" t="s">
        <v>535</v>
      </c>
      <c r="F12" s="144" t="s">
        <v>538</v>
      </c>
      <c r="G12" s="149">
        <v>23172.150216599999</v>
      </c>
      <c r="H12" s="146"/>
      <c r="I12" s="149">
        <f>SUBTOTAL(9,'AC-SCH'!D84)</f>
        <v>23867.314723097999</v>
      </c>
      <c r="J12" s="147"/>
      <c r="K12" s="148">
        <f t="shared" si="0"/>
        <v>2.9126213592232997E-2</v>
      </c>
      <c r="L12" s="147"/>
      <c r="M12" s="135" t="s">
        <v>467</v>
      </c>
    </row>
    <row r="13" spans="1:14">
      <c r="A13" s="135" t="s">
        <v>472</v>
      </c>
      <c r="D13" s="144" t="s">
        <v>469</v>
      </c>
      <c r="E13" s="144" t="s">
        <v>535</v>
      </c>
      <c r="F13" s="144" t="s">
        <v>539</v>
      </c>
      <c r="G13" s="149">
        <v>23172.150216599999</v>
      </c>
      <c r="H13" s="146"/>
      <c r="I13" s="149">
        <f>SUBTOTAL(9,'AC-SCH'!D84)</f>
        <v>23867.314723097999</v>
      </c>
      <c r="J13" s="147"/>
      <c r="K13" s="148">
        <f t="shared" si="0"/>
        <v>2.9126213592232997E-2</v>
      </c>
      <c r="L13" s="147"/>
      <c r="M13" s="135" t="s">
        <v>467</v>
      </c>
    </row>
    <row r="14" spans="1:14">
      <c r="A14" s="135" t="s">
        <v>472</v>
      </c>
      <c r="D14" s="144" t="s">
        <v>469</v>
      </c>
      <c r="E14" s="144" t="s">
        <v>535</v>
      </c>
      <c r="F14" s="144" t="s">
        <v>540</v>
      </c>
      <c r="G14" s="149">
        <v>23867.314723097999</v>
      </c>
      <c r="H14" s="146"/>
      <c r="I14" s="149">
        <f>SUBTOTAL(9,'AC-SCH'!D85)</f>
        <v>24583.33416479094</v>
      </c>
      <c r="J14" s="147"/>
      <c r="K14" s="148">
        <f t="shared" si="0"/>
        <v>2.9126213592232997E-2</v>
      </c>
      <c r="L14" s="147"/>
      <c r="M14" s="135" t="s">
        <v>467</v>
      </c>
    </row>
    <row r="15" spans="1:14">
      <c r="A15" s="135" t="s">
        <v>472</v>
      </c>
      <c r="D15" s="144" t="s">
        <v>469</v>
      </c>
      <c r="E15" s="144" t="s">
        <v>537</v>
      </c>
      <c r="F15" s="144" t="s">
        <v>538</v>
      </c>
      <c r="G15" s="149">
        <v>26862.872991889511</v>
      </c>
      <c r="H15" s="146"/>
      <c r="I15" s="149">
        <f>SUBTOTAL(9,'AC-SCH'!D89)</f>
        <v>27668.759181646197</v>
      </c>
      <c r="J15" s="147"/>
      <c r="K15" s="148">
        <f t="shared" si="0"/>
        <v>2.9126213592232997E-2</v>
      </c>
      <c r="L15" s="147"/>
      <c r="M15" s="135" t="s">
        <v>467</v>
      </c>
    </row>
    <row r="16" spans="1:14">
      <c r="A16" s="135" t="s">
        <v>472</v>
      </c>
      <c r="D16" s="144" t="s">
        <v>469</v>
      </c>
      <c r="E16" s="144" t="s">
        <v>537</v>
      </c>
      <c r="F16" s="144" t="s">
        <v>538</v>
      </c>
      <c r="G16" s="149">
        <v>25320.834189734669</v>
      </c>
      <c r="H16" s="146"/>
      <c r="I16" s="149">
        <f>SUBTOTAL(9,'AC-SCH'!D86)</f>
        <v>25320.834189734669</v>
      </c>
      <c r="J16" s="147"/>
      <c r="K16" s="148">
        <f t="shared" si="0"/>
        <v>0</v>
      </c>
      <c r="L16" s="147"/>
      <c r="M16" s="135" t="s">
        <v>467</v>
      </c>
    </row>
    <row r="17" spans="1:14">
      <c r="A17" s="135" t="s">
        <v>472</v>
      </c>
      <c r="D17" s="144" t="s">
        <v>469</v>
      </c>
      <c r="E17" s="144" t="s">
        <v>537</v>
      </c>
      <c r="F17" s="144" t="s">
        <v>539</v>
      </c>
      <c r="G17" s="149">
        <v>28429.65005914147</v>
      </c>
      <c r="H17" s="146"/>
      <c r="I17" s="149">
        <f>SUBTOTAL(9,'AC-SCH'!D91)</f>
        <v>29211.465435767863</v>
      </c>
      <c r="J17" s="147"/>
      <c r="K17" s="148">
        <f t="shared" si="0"/>
        <v>2.6763990267639981E-2</v>
      </c>
      <c r="L17" s="147"/>
      <c r="M17" s="135" t="s">
        <v>467</v>
      </c>
    </row>
    <row r="18" spans="1:14">
      <c r="A18" s="135" t="s">
        <v>472</v>
      </c>
      <c r="D18" s="144" t="s">
        <v>469</v>
      </c>
      <c r="E18" s="144" t="s">
        <v>537</v>
      </c>
      <c r="F18" s="144" t="s">
        <v>539</v>
      </c>
      <c r="G18" s="149">
        <v>22497.233219999998</v>
      </c>
      <c r="H18" s="146"/>
      <c r="I18" s="149">
        <f>SUBTOTAL(9,'AC-SCH'!D83)</f>
        <v>23172.150216599999</v>
      </c>
      <c r="J18" s="147"/>
      <c r="K18" s="148">
        <f t="shared" si="0"/>
        <v>2.9126213592232997E-2</v>
      </c>
      <c r="L18" s="147"/>
      <c r="M18" s="135" t="s">
        <v>467</v>
      </c>
    </row>
    <row r="19" spans="1:14">
      <c r="A19" s="135" t="s">
        <v>472</v>
      </c>
      <c r="D19" s="144" t="s">
        <v>469</v>
      </c>
      <c r="E19" s="144" t="s">
        <v>537</v>
      </c>
      <c r="F19" s="144" t="s">
        <v>540</v>
      </c>
      <c r="G19" s="149">
        <v>24583.33416479094</v>
      </c>
      <c r="H19" s="146"/>
      <c r="I19" s="149">
        <f>SUBTOTAL(9,'AC-SCH'!D86)</f>
        <v>25320.834189734669</v>
      </c>
      <c r="J19" s="147"/>
      <c r="K19" s="148">
        <f t="shared" si="0"/>
        <v>2.9126213592232997E-2</v>
      </c>
      <c r="L19" s="147"/>
      <c r="M19" s="135" t="s">
        <v>467</v>
      </c>
    </row>
    <row r="20" spans="1:14">
      <c r="A20" s="135" t="s">
        <v>472</v>
      </c>
      <c r="D20" s="144" t="s">
        <v>469</v>
      </c>
      <c r="E20" s="144" t="s">
        <v>537</v>
      </c>
      <c r="F20" s="144" t="s">
        <v>541</v>
      </c>
      <c r="G20" s="149">
        <v>27668.759181646197</v>
      </c>
      <c r="H20" s="146"/>
      <c r="I20" s="149">
        <f>SUBTOTAL(9,'AC-SCH'!D90)</f>
        <v>28429.65005914147</v>
      </c>
      <c r="J20" s="147"/>
      <c r="K20" s="148">
        <f t="shared" si="0"/>
        <v>2.6763990267639981E-2</v>
      </c>
      <c r="L20" s="147"/>
      <c r="M20" s="135" t="s">
        <v>467</v>
      </c>
    </row>
    <row r="21" spans="1:14">
      <c r="A21" s="135" t="s">
        <v>472</v>
      </c>
      <c r="D21" s="144" t="s">
        <v>469</v>
      </c>
      <c r="E21" s="144" t="s">
        <v>537</v>
      </c>
      <c r="F21" s="144" t="s">
        <v>542</v>
      </c>
      <c r="G21" s="150">
        <v>21841.973999999998</v>
      </c>
      <c r="H21" s="146"/>
      <c r="I21" s="145">
        <f>SUBTOTAL(9,'AC-SCH'!D82)</f>
        <v>22497.233219999998</v>
      </c>
      <c r="J21" s="147"/>
      <c r="K21" s="148">
        <f t="shared" si="0"/>
        <v>2.9126213592232997E-2</v>
      </c>
      <c r="L21" s="147"/>
      <c r="M21" s="135" t="s">
        <v>467</v>
      </c>
      <c r="N21" s="135" t="s">
        <v>473</v>
      </c>
    </row>
    <row r="22" spans="1:14">
      <c r="A22" s="135" t="s">
        <v>472</v>
      </c>
      <c r="D22" s="144" t="s">
        <v>474</v>
      </c>
      <c r="E22" s="144" t="s">
        <v>183</v>
      </c>
      <c r="F22" s="144" t="s">
        <v>183</v>
      </c>
      <c r="G22" s="149">
        <v>40553.469000000005</v>
      </c>
      <c r="H22" s="146"/>
      <c r="I22" s="149">
        <f>SUM('AC-SCH'!D108)</f>
        <v>41770.073070000006</v>
      </c>
      <c r="J22" s="147"/>
      <c r="K22" s="148">
        <f t="shared" ref="K22:K61" si="1">1-SUM(G22/I22)</f>
        <v>2.9126213592232997E-2</v>
      </c>
      <c r="L22" s="147"/>
      <c r="M22" s="135" t="s">
        <v>467</v>
      </c>
    </row>
    <row r="23" spans="1:14">
      <c r="A23" s="135" t="s">
        <v>472</v>
      </c>
      <c r="D23" s="144" t="s">
        <v>475</v>
      </c>
      <c r="E23" s="144" t="s">
        <v>475</v>
      </c>
      <c r="F23" s="144" t="s">
        <v>475</v>
      </c>
      <c r="G23" s="149">
        <v>23172.150216599999</v>
      </c>
      <c r="H23" s="146"/>
      <c r="I23" s="149">
        <f>SUM('AC-SCH'!D84)</f>
        <v>23867.314723097999</v>
      </c>
      <c r="J23" s="147"/>
      <c r="K23" s="148">
        <f t="shared" si="1"/>
        <v>2.9126213592232997E-2</v>
      </c>
      <c r="L23" s="147"/>
      <c r="M23" s="135" t="s">
        <v>467</v>
      </c>
    </row>
    <row r="24" spans="1:14">
      <c r="A24" s="135" t="s">
        <v>472</v>
      </c>
      <c r="D24" s="144" t="s">
        <v>471</v>
      </c>
      <c r="E24" s="144" t="s">
        <v>477</v>
      </c>
      <c r="F24" s="144" t="s">
        <v>477</v>
      </c>
      <c r="G24" s="149">
        <v>44546.143580393531</v>
      </c>
      <c r="H24" s="146"/>
      <c r="I24" s="149">
        <f>SUBTOTAL(9,'AC-SCH'!D46)</f>
        <v>45659.797169903366</v>
      </c>
      <c r="J24" s="147"/>
      <c r="K24" s="148">
        <f t="shared" si="1"/>
        <v>2.4390243902438935E-2</v>
      </c>
      <c r="L24" s="147"/>
      <c r="M24" s="135" t="s">
        <v>467</v>
      </c>
    </row>
    <row r="25" spans="1:14">
      <c r="A25" s="135" t="s">
        <v>472</v>
      </c>
      <c r="D25" s="144" t="s">
        <v>471</v>
      </c>
      <c r="E25" s="144" t="s">
        <v>477</v>
      </c>
      <c r="F25" s="144" t="s">
        <v>477</v>
      </c>
      <c r="G25" s="149">
        <v>41365.522687499993</v>
      </c>
      <c r="H25" s="146"/>
      <c r="I25" s="149">
        <f>SUBTOTAL(9,'AC-SCH'!D43)</f>
        <v>42399.660754687487</v>
      </c>
      <c r="J25" s="147"/>
      <c r="K25" s="148">
        <f t="shared" si="1"/>
        <v>2.4390243902438935E-2</v>
      </c>
      <c r="L25" s="147"/>
      <c r="M25" s="135" t="s">
        <v>467</v>
      </c>
    </row>
    <row r="26" spans="1:14">
      <c r="A26" s="135" t="s">
        <v>472</v>
      </c>
      <c r="D26" s="144" t="s">
        <v>471</v>
      </c>
      <c r="E26" s="144" t="s">
        <v>479</v>
      </c>
      <c r="F26" s="144" t="s">
        <v>479</v>
      </c>
      <c r="G26" s="149">
        <v>42399.660754687487</v>
      </c>
      <c r="H26" s="146"/>
      <c r="I26" s="149">
        <f>SUBTOTAL(9,'AC-SCH'!D44)</f>
        <v>43459.652273554668</v>
      </c>
      <c r="J26" s="147"/>
      <c r="K26" s="148">
        <f t="shared" si="1"/>
        <v>2.4390243902438824E-2</v>
      </c>
      <c r="L26" s="147"/>
      <c r="M26" s="135" t="s">
        <v>467</v>
      </c>
    </row>
    <row r="27" spans="1:14">
      <c r="A27" s="135" t="s">
        <v>472</v>
      </c>
      <c r="D27" s="144" t="s">
        <v>471</v>
      </c>
      <c r="E27" s="144" t="s">
        <v>543</v>
      </c>
      <c r="F27" s="144" t="s">
        <v>539</v>
      </c>
      <c r="G27" s="149">
        <v>46801.292099150945</v>
      </c>
      <c r="H27" s="146"/>
      <c r="I27" s="149">
        <f>SUBTOTAL(9,'AC-SCH'!D48)</f>
        <v>47971.324401629718</v>
      </c>
      <c r="J27" s="147"/>
      <c r="K27" s="148">
        <f t="shared" si="1"/>
        <v>2.4390243902439046E-2</v>
      </c>
      <c r="L27" s="147"/>
      <c r="M27" s="135" t="s">
        <v>467</v>
      </c>
    </row>
    <row r="28" spans="1:14">
      <c r="A28" s="135" t="s">
        <v>472</v>
      </c>
      <c r="D28" s="144" t="s">
        <v>471</v>
      </c>
      <c r="E28" s="144" t="s">
        <v>543</v>
      </c>
      <c r="F28" s="144" t="s">
        <v>540</v>
      </c>
      <c r="G28" s="149">
        <v>44546.143580393531</v>
      </c>
      <c r="H28" s="146"/>
      <c r="I28" s="149">
        <f>SUBTOTAL(9,'AC-SCH'!D45)</f>
        <v>44546.143580393531</v>
      </c>
      <c r="J28" s="147"/>
      <c r="K28" s="148">
        <f t="shared" si="1"/>
        <v>0</v>
      </c>
      <c r="L28" s="147"/>
      <c r="M28" s="135" t="s">
        <v>467</v>
      </c>
    </row>
    <row r="29" spans="1:14">
      <c r="A29" s="135" t="s">
        <v>472</v>
      </c>
      <c r="D29" s="144" t="s">
        <v>471</v>
      </c>
      <c r="E29" s="144" t="s">
        <v>543</v>
      </c>
      <c r="F29" s="144" t="s">
        <v>541</v>
      </c>
      <c r="G29" s="149">
        <v>48301.292099150945</v>
      </c>
      <c r="H29" s="146"/>
      <c r="I29" s="149">
        <f>SUBTOTAL(9,'AC-SCH'!H47)</f>
        <v>48301.292099150945</v>
      </c>
      <c r="J29" s="147"/>
      <c r="K29" s="148">
        <f t="shared" si="1"/>
        <v>0</v>
      </c>
      <c r="L29" s="147"/>
      <c r="M29" s="135" t="s">
        <v>467</v>
      </c>
    </row>
    <row r="30" spans="1:14">
      <c r="A30" s="135" t="s">
        <v>472</v>
      </c>
      <c r="D30" s="144" t="s">
        <v>471</v>
      </c>
      <c r="E30" s="144" t="s">
        <v>543</v>
      </c>
      <c r="F30" s="144" t="s">
        <v>542</v>
      </c>
      <c r="G30" s="149">
        <v>41365.522687499993</v>
      </c>
      <c r="H30" s="146"/>
      <c r="I30" s="149">
        <f>SUBTOTAL(9,'AC-SCH'!D43)</f>
        <v>42399.660754687487</v>
      </c>
      <c r="J30" s="147"/>
      <c r="K30" s="148">
        <f t="shared" si="1"/>
        <v>2.4390243902438935E-2</v>
      </c>
      <c r="L30" s="147"/>
      <c r="M30" s="135" t="s">
        <v>467</v>
      </c>
    </row>
    <row r="31" spans="1:14">
      <c r="A31" s="135" t="s">
        <v>472</v>
      </c>
      <c r="D31" s="144" t="s">
        <v>471</v>
      </c>
      <c r="E31" s="144" t="s">
        <v>535</v>
      </c>
      <c r="F31" s="144" t="s">
        <v>538</v>
      </c>
      <c r="G31" s="149">
        <v>43459.652273554668</v>
      </c>
      <c r="H31" s="146"/>
      <c r="I31" s="149">
        <f>SUBTOTAL(9,'AC-SCH'!D45)</f>
        <v>44546.143580393531</v>
      </c>
      <c r="J31" s="147"/>
      <c r="K31" s="148">
        <f t="shared" si="1"/>
        <v>2.4390243902438935E-2</v>
      </c>
      <c r="L31" s="147"/>
      <c r="M31" s="135" t="s">
        <v>467</v>
      </c>
    </row>
    <row r="32" spans="1:14">
      <c r="A32" s="135" t="s">
        <v>472</v>
      </c>
      <c r="D32" s="144" t="s">
        <v>471</v>
      </c>
      <c r="E32" s="144" t="s">
        <v>535</v>
      </c>
      <c r="F32" s="144" t="s">
        <v>538</v>
      </c>
      <c r="G32" s="149">
        <v>43399.660754687487</v>
      </c>
      <c r="H32" s="146"/>
      <c r="I32" s="149">
        <f>SUBTOTAL(9,'AC-SCH'!F44)</f>
        <v>44459.652273554668</v>
      </c>
      <c r="J32" s="147"/>
      <c r="K32" s="148">
        <f t="shared" si="1"/>
        <v>2.3841651129999475E-2</v>
      </c>
      <c r="L32" s="147"/>
      <c r="M32" s="135" t="s">
        <v>467</v>
      </c>
    </row>
    <row r="33" spans="1:13">
      <c r="A33" s="135" t="s">
        <v>472</v>
      </c>
      <c r="D33" s="144" t="s">
        <v>471</v>
      </c>
      <c r="E33" s="144" t="s">
        <v>535</v>
      </c>
      <c r="F33" s="144" t="s">
        <v>539</v>
      </c>
      <c r="G33" s="149">
        <v>39372.300000000003</v>
      </c>
      <c r="H33" s="146"/>
      <c r="I33" s="145">
        <f>SUBTOTAL(9,'AC-SCH'!D107)</f>
        <v>40553.469000000005</v>
      </c>
      <c r="J33" s="147"/>
      <c r="K33" s="148">
        <f t="shared" si="1"/>
        <v>2.9126213592232997E-2</v>
      </c>
      <c r="L33" s="147"/>
      <c r="M33" s="135" t="s">
        <v>467</v>
      </c>
    </row>
    <row r="34" spans="1:13">
      <c r="A34" s="135" t="s">
        <v>472</v>
      </c>
      <c r="D34" s="144" t="s">
        <v>471</v>
      </c>
      <c r="E34" s="144" t="s">
        <v>535</v>
      </c>
      <c r="F34" s="144" t="s">
        <v>539</v>
      </c>
      <c r="G34" s="149">
        <v>44546.143580393531</v>
      </c>
      <c r="H34" s="146"/>
      <c r="I34" s="149">
        <f>SUBTOTAL(9,'AC-SCH'!D46)</f>
        <v>45659.797169903366</v>
      </c>
      <c r="J34" s="147"/>
      <c r="K34" s="148">
        <f t="shared" si="1"/>
        <v>2.4390243902438935E-2</v>
      </c>
      <c r="L34" s="147"/>
      <c r="M34" s="135" t="s">
        <v>467</v>
      </c>
    </row>
    <row r="35" spans="1:13">
      <c r="A35" s="135" t="s">
        <v>472</v>
      </c>
      <c r="D35" s="144" t="s">
        <v>471</v>
      </c>
      <c r="E35" s="144" t="s">
        <v>535</v>
      </c>
      <c r="F35" s="144" t="s">
        <v>540</v>
      </c>
      <c r="G35" s="149">
        <v>39372.300000000003</v>
      </c>
      <c r="H35" s="146"/>
      <c r="I35" s="145">
        <f>SUBTOTAL(9,'AC-SCH'!D107)</f>
        <v>40553.469000000005</v>
      </c>
      <c r="J35" s="147"/>
      <c r="K35" s="148">
        <f t="shared" si="1"/>
        <v>2.9126213592232997E-2</v>
      </c>
      <c r="L35" s="147"/>
      <c r="M35" s="135" t="s">
        <v>467</v>
      </c>
    </row>
    <row r="36" spans="1:13">
      <c r="A36" s="135" t="s">
        <v>472</v>
      </c>
      <c r="D36" s="144" t="s">
        <v>471</v>
      </c>
      <c r="E36" s="144" t="s">
        <v>535</v>
      </c>
      <c r="F36" s="144" t="s">
        <v>540</v>
      </c>
      <c r="G36" s="149">
        <v>43459.652273554668</v>
      </c>
      <c r="H36" s="146"/>
      <c r="I36" s="149">
        <f>SUBTOTAL(9,'AC-SCH'!D45)</f>
        <v>44546.143580393531</v>
      </c>
      <c r="J36" s="147"/>
      <c r="K36" s="148">
        <f t="shared" si="1"/>
        <v>2.4390243902438935E-2</v>
      </c>
      <c r="L36" s="147"/>
      <c r="M36" s="135" t="s">
        <v>467</v>
      </c>
    </row>
    <row r="37" spans="1:13">
      <c r="A37" s="135" t="s">
        <v>472</v>
      </c>
      <c r="D37" s="144" t="s">
        <v>471</v>
      </c>
      <c r="E37" s="144" t="s">
        <v>535</v>
      </c>
      <c r="F37" s="144" t="s">
        <v>541</v>
      </c>
      <c r="G37" s="149">
        <v>43399.660754687487</v>
      </c>
      <c r="H37" s="146"/>
      <c r="I37" s="149">
        <f>SUBTOTAL(9,'AC-SCH'!F44)</f>
        <v>44459.652273554668</v>
      </c>
      <c r="J37" s="147"/>
      <c r="K37" s="148">
        <f t="shared" si="1"/>
        <v>2.3841651129999475E-2</v>
      </c>
      <c r="L37" s="147"/>
      <c r="M37" s="135" t="s">
        <v>467</v>
      </c>
    </row>
    <row r="38" spans="1:13">
      <c r="A38" s="135" t="s">
        <v>472</v>
      </c>
      <c r="D38" s="144" t="s">
        <v>471</v>
      </c>
      <c r="E38" s="144" t="s">
        <v>535</v>
      </c>
      <c r="F38" s="144" t="s">
        <v>542</v>
      </c>
      <c r="G38" s="149">
        <v>44546.143580393531</v>
      </c>
      <c r="H38" s="146"/>
      <c r="I38" s="149">
        <f>SUBTOTAL(9,'AC-SCH'!D46)</f>
        <v>45659.797169903366</v>
      </c>
      <c r="J38" s="147"/>
      <c r="K38" s="148">
        <f t="shared" si="1"/>
        <v>2.4390243902438935E-2</v>
      </c>
      <c r="L38" s="147"/>
      <c r="M38" s="135" t="s">
        <v>467</v>
      </c>
    </row>
    <row r="39" spans="1:13">
      <c r="A39" s="135" t="s">
        <v>472</v>
      </c>
      <c r="D39" s="144" t="s">
        <v>471</v>
      </c>
      <c r="E39" s="144" t="s">
        <v>535</v>
      </c>
      <c r="F39" s="144" t="s">
        <v>541</v>
      </c>
      <c r="G39" s="149">
        <v>44546.143580393531</v>
      </c>
      <c r="H39" s="146"/>
      <c r="I39" s="149">
        <f>SUBTOTAL(9,'AC-SCH'!D46)</f>
        <v>45659.797169903366</v>
      </c>
      <c r="J39" s="147"/>
      <c r="K39" s="148">
        <f t="shared" si="1"/>
        <v>2.4390243902438935E-2</v>
      </c>
      <c r="L39" s="147"/>
      <c r="M39" s="135" t="s">
        <v>467</v>
      </c>
    </row>
    <row r="40" spans="1:13">
      <c r="A40" s="135" t="s">
        <v>472</v>
      </c>
      <c r="D40" s="144" t="s">
        <v>471</v>
      </c>
      <c r="E40" s="144" t="s">
        <v>480</v>
      </c>
      <c r="F40" s="144" t="s">
        <v>480</v>
      </c>
      <c r="G40" s="149">
        <v>36153.360216703106</v>
      </c>
      <c r="H40" s="146"/>
      <c r="I40" s="149">
        <f>SUBTOTAL(9,'AC-SCH'!D178)</f>
        <v>37057.194222120677</v>
      </c>
      <c r="J40" s="147"/>
      <c r="K40" s="148">
        <f t="shared" si="1"/>
        <v>2.4390243902438824E-2</v>
      </c>
      <c r="L40" s="147"/>
      <c r="M40" s="135" t="s">
        <v>467</v>
      </c>
    </row>
    <row r="41" spans="1:13">
      <c r="A41" s="135" t="s">
        <v>472</v>
      </c>
      <c r="D41" s="144" t="s">
        <v>471</v>
      </c>
      <c r="E41" s="144" t="s">
        <v>482</v>
      </c>
      <c r="F41" s="144" t="s">
        <v>482</v>
      </c>
      <c r="G41" s="149">
        <v>46659.797169903366</v>
      </c>
      <c r="H41" s="146"/>
      <c r="I41" s="149">
        <f>SUBTOTAL(9,'AC-SCH'!F47)</f>
        <v>47801.292099150945</v>
      </c>
      <c r="J41" s="147"/>
      <c r="K41" s="148">
        <f t="shared" si="1"/>
        <v>2.3880001546398688E-2</v>
      </c>
      <c r="L41" s="147"/>
      <c r="M41" s="135" t="s">
        <v>467</v>
      </c>
    </row>
    <row r="42" spans="1:13">
      <c r="A42" s="135" t="s">
        <v>472</v>
      </c>
      <c r="D42" s="144" t="s">
        <v>471</v>
      </c>
      <c r="E42" s="144" t="s">
        <v>482</v>
      </c>
      <c r="F42" s="144" t="s">
        <v>482</v>
      </c>
      <c r="G42" s="149">
        <v>37983.624077673689</v>
      </c>
      <c r="H42" s="146"/>
      <c r="I42" s="149">
        <f>SUBTOTAL(9,'AC-SCH'!D180)</f>
        <v>38933.214679615528</v>
      </c>
      <c r="J42" s="147"/>
      <c r="K42" s="148">
        <f t="shared" si="1"/>
        <v>2.4390243902438935E-2</v>
      </c>
      <c r="L42" s="147"/>
      <c r="M42" s="135" t="s">
        <v>467</v>
      </c>
    </row>
    <row r="43" spans="1:13">
      <c r="A43" s="135" t="s">
        <v>472</v>
      </c>
      <c r="D43" s="144" t="s">
        <v>471</v>
      </c>
      <c r="E43" s="144" t="s">
        <v>537</v>
      </c>
      <c r="F43" s="144" t="s">
        <v>538</v>
      </c>
      <c r="G43" s="149">
        <v>43399.660754687487</v>
      </c>
      <c r="H43" s="146"/>
      <c r="I43" s="149">
        <f>SUBTOTAL(9,'AC-SCH'!F44)</f>
        <v>44459.652273554668</v>
      </c>
      <c r="J43" s="147"/>
      <c r="K43" s="148">
        <f t="shared" si="1"/>
        <v>2.3841651129999475E-2</v>
      </c>
      <c r="L43" s="147"/>
      <c r="M43" s="135" t="s">
        <v>467</v>
      </c>
    </row>
    <row r="44" spans="1:13">
      <c r="A44" s="135" t="s">
        <v>472</v>
      </c>
      <c r="D44" s="144" t="s">
        <v>471</v>
      </c>
      <c r="E44" s="144" t="s">
        <v>537</v>
      </c>
      <c r="F44" s="144" t="s">
        <v>538</v>
      </c>
      <c r="G44" s="149">
        <v>51659.869516948769</v>
      </c>
      <c r="H44" s="146"/>
      <c r="I44" s="149">
        <f>SUBTOTAL(9,'AC-SCH'!D52)</f>
        <v>52951.366254872482</v>
      </c>
      <c r="J44" s="147"/>
      <c r="K44" s="148">
        <f t="shared" si="1"/>
        <v>2.4390243902438935E-2</v>
      </c>
      <c r="L44" s="147"/>
      <c r="M44" s="135" t="s">
        <v>467</v>
      </c>
    </row>
    <row r="45" spans="1:13">
      <c r="A45" s="135" t="s">
        <v>472</v>
      </c>
      <c r="D45" s="144" t="s">
        <v>471</v>
      </c>
      <c r="E45" s="144" t="s">
        <v>537</v>
      </c>
      <c r="F45" s="144" t="s">
        <v>539</v>
      </c>
      <c r="G45" s="149">
        <v>44546.143580393531</v>
      </c>
      <c r="H45" s="146"/>
      <c r="I45" s="149">
        <f>SUBTOTAL(9,'AC-SCH'!D46)</f>
        <v>45659.797169903366</v>
      </c>
      <c r="J45" s="147"/>
      <c r="K45" s="148">
        <f t="shared" si="1"/>
        <v>2.4390243902438935E-2</v>
      </c>
      <c r="L45" s="147"/>
      <c r="M45" s="135" t="s">
        <v>467</v>
      </c>
    </row>
    <row r="46" spans="1:13">
      <c r="A46" s="135" t="s">
        <v>472</v>
      </c>
      <c r="D46" s="144" t="s">
        <v>471</v>
      </c>
      <c r="E46" s="144" t="s">
        <v>537</v>
      </c>
      <c r="F46" s="144" t="s">
        <v>539</v>
      </c>
      <c r="G46" s="149">
        <v>41365.522687499993</v>
      </c>
      <c r="H46" s="146"/>
      <c r="I46" s="149">
        <f>SUBTOTAL(9,'AC-SCH'!D43)</f>
        <v>42399.660754687487</v>
      </c>
      <c r="J46" s="147"/>
      <c r="K46" s="148">
        <f t="shared" si="1"/>
        <v>2.4390243902438935E-2</v>
      </c>
      <c r="L46" s="147"/>
      <c r="M46" s="135" t="s">
        <v>467</v>
      </c>
    </row>
    <row r="47" spans="1:13">
      <c r="A47" s="135" t="s">
        <v>472</v>
      </c>
      <c r="D47" s="144" t="s">
        <v>471</v>
      </c>
      <c r="E47" s="144" t="s">
        <v>537</v>
      </c>
      <c r="F47" s="144" t="s">
        <v>544</v>
      </c>
      <c r="G47" s="149">
        <v>42399.660754687487</v>
      </c>
      <c r="H47" s="146"/>
      <c r="I47" s="149">
        <f>SUBTOTAL(9,'AC-SCH'!D44)</f>
        <v>43459.652273554668</v>
      </c>
      <c r="J47" s="147"/>
      <c r="K47" s="148">
        <f t="shared" si="1"/>
        <v>2.4390243902438824E-2</v>
      </c>
      <c r="L47" s="147"/>
      <c r="M47" s="135" t="s">
        <v>467</v>
      </c>
    </row>
    <row r="48" spans="1:13">
      <c r="A48" s="135" t="s">
        <v>472</v>
      </c>
      <c r="D48" s="144" t="s">
        <v>471</v>
      </c>
      <c r="E48" s="144" t="s">
        <v>537</v>
      </c>
      <c r="F48" s="144" t="s">
        <v>541</v>
      </c>
      <c r="G48" s="149">
        <v>44546.143580393531</v>
      </c>
      <c r="H48" s="146"/>
      <c r="I48" s="149">
        <f>SUBTOTAL(9,'AC-SCH'!D46)</f>
        <v>45659.797169903366</v>
      </c>
      <c r="J48" s="147"/>
      <c r="K48" s="148">
        <f t="shared" si="1"/>
        <v>2.4390243902438935E-2</v>
      </c>
      <c r="L48" s="147"/>
      <c r="M48" s="135" t="s">
        <v>467</v>
      </c>
    </row>
    <row r="49" spans="1:14">
      <c r="A49" s="135" t="s">
        <v>472</v>
      </c>
      <c r="D49" s="144" t="s">
        <v>471</v>
      </c>
      <c r="E49" s="144" t="s">
        <v>537</v>
      </c>
      <c r="F49" s="144" t="s">
        <v>541</v>
      </c>
      <c r="G49" s="149">
        <v>42399.660754687487</v>
      </c>
      <c r="H49" s="146"/>
      <c r="I49" s="149">
        <f>SUBTOTAL(9,'AC-SCH'!D44)</f>
        <v>43459.652273554668</v>
      </c>
      <c r="J49" s="147"/>
      <c r="K49" s="148">
        <f t="shared" si="1"/>
        <v>2.4390243902438824E-2</v>
      </c>
      <c r="L49" s="147"/>
      <c r="M49" s="135" t="s">
        <v>467</v>
      </c>
    </row>
    <row r="50" spans="1:14">
      <c r="A50" s="135" t="s">
        <v>472</v>
      </c>
      <c r="D50" s="144" t="s">
        <v>471</v>
      </c>
      <c r="E50" s="144" t="s">
        <v>537</v>
      </c>
      <c r="F50" s="144" t="s">
        <v>542</v>
      </c>
      <c r="G50" s="149">
        <v>44546.143580393531</v>
      </c>
      <c r="H50" s="146"/>
      <c r="I50" s="149">
        <f>SUBTOTAL(9,'AC-SCH'!D46)</f>
        <v>45659.797169903366</v>
      </c>
      <c r="J50" s="147"/>
      <c r="K50" s="148">
        <f t="shared" si="1"/>
        <v>2.4390243902438935E-2</v>
      </c>
      <c r="L50" s="147"/>
      <c r="M50" s="135" t="s">
        <v>467</v>
      </c>
    </row>
    <row r="51" spans="1:14">
      <c r="A51" s="135" t="s">
        <v>483</v>
      </c>
      <c r="D51" s="144" t="s">
        <v>471</v>
      </c>
      <c r="E51" s="144" t="s">
        <v>537</v>
      </c>
      <c r="F51" s="144" t="s">
        <v>542</v>
      </c>
      <c r="G51" s="149">
        <v>48971.324401629718</v>
      </c>
      <c r="H51" s="146"/>
      <c r="I51" s="149">
        <f>SUBTOTAL(9,'AC-SCH'!F49)</f>
        <v>50170.60751167046</v>
      </c>
      <c r="J51" s="147"/>
      <c r="K51" s="148">
        <f t="shared" si="1"/>
        <v>2.3904097827832205E-2</v>
      </c>
      <c r="L51" s="147"/>
      <c r="M51" s="135" t="s">
        <v>467</v>
      </c>
    </row>
    <row r="52" spans="1:14">
      <c r="A52" s="135" t="s">
        <v>484</v>
      </c>
      <c r="D52" s="144" t="s">
        <v>471</v>
      </c>
      <c r="E52" s="144" t="s">
        <v>545</v>
      </c>
      <c r="F52" s="144" t="s">
        <v>546</v>
      </c>
      <c r="G52" s="149">
        <v>39372.300000000003</v>
      </c>
      <c r="H52" s="146"/>
      <c r="I52" s="145">
        <f>SUBTOTAL(9,'AC-SCH'!D$107)</f>
        <v>40553.469000000005</v>
      </c>
      <c r="J52" s="147"/>
      <c r="K52" s="148">
        <f t="shared" si="1"/>
        <v>2.9126213592232997E-2</v>
      </c>
      <c r="L52" s="147"/>
      <c r="M52" s="135" t="s">
        <v>467</v>
      </c>
    </row>
    <row r="53" spans="1:14">
      <c r="A53" s="135" t="s">
        <v>484</v>
      </c>
      <c r="D53" s="144" t="s">
        <v>471</v>
      </c>
      <c r="E53" s="144" t="s">
        <v>547</v>
      </c>
      <c r="F53" s="144" t="s">
        <v>546</v>
      </c>
      <c r="G53" s="149">
        <v>42399.660754687487</v>
      </c>
      <c r="H53" s="146"/>
      <c r="I53" s="149">
        <f>SUBTOTAL(9,'AC-SCH'!D44)</f>
        <v>43459.652273554668</v>
      </c>
      <c r="J53" s="147"/>
      <c r="K53" s="148">
        <f t="shared" si="1"/>
        <v>2.4390243902438824E-2</v>
      </c>
      <c r="L53" s="147"/>
      <c r="M53" s="135" t="s">
        <v>467</v>
      </c>
    </row>
    <row r="54" spans="1:14">
      <c r="A54" s="135" t="s">
        <v>484</v>
      </c>
      <c r="D54" s="144" t="s">
        <v>471</v>
      </c>
      <c r="E54" s="144" t="s">
        <v>548</v>
      </c>
      <c r="F54" s="144" t="s">
        <v>546</v>
      </c>
      <c r="G54" s="149">
        <v>39372.300000000003</v>
      </c>
      <c r="H54" s="146"/>
      <c r="I54" s="145">
        <f>SUBTOTAL(9,'AC-SCH'!D$107)</f>
        <v>40553.469000000005</v>
      </c>
      <c r="J54" s="147"/>
      <c r="K54" s="148">
        <f t="shared" si="1"/>
        <v>2.9126213592232997E-2</v>
      </c>
      <c r="L54" s="147"/>
      <c r="M54" s="135" t="s">
        <v>467</v>
      </c>
      <c r="N54" s="135" t="s">
        <v>473</v>
      </c>
    </row>
    <row r="55" spans="1:14">
      <c r="A55" s="135" t="s">
        <v>484</v>
      </c>
      <c r="D55" s="144" t="s">
        <v>471</v>
      </c>
      <c r="E55" s="144" t="s">
        <v>549</v>
      </c>
      <c r="F55" s="144" t="s">
        <v>546</v>
      </c>
      <c r="G55" s="149">
        <v>43459.652273554668</v>
      </c>
      <c r="H55" s="146"/>
      <c r="I55" s="149">
        <f>SUBTOTAL(9,'AC-SCH'!D45)</f>
        <v>44546.143580393531</v>
      </c>
      <c r="J55" s="147"/>
      <c r="K55" s="148">
        <f t="shared" si="1"/>
        <v>2.4390243902438935E-2</v>
      </c>
      <c r="L55" s="147"/>
      <c r="M55" s="135" t="s">
        <v>467</v>
      </c>
    </row>
    <row r="56" spans="1:14">
      <c r="A56" s="135" t="s">
        <v>484</v>
      </c>
      <c r="D56" s="144" t="s">
        <v>471</v>
      </c>
      <c r="E56" s="144" t="s">
        <v>550</v>
      </c>
      <c r="F56" s="144" t="s">
        <v>546</v>
      </c>
      <c r="G56" s="149">
        <v>30990.443680806125</v>
      </c>
      <c r="H56" s="146"/>
      <c r="I56" s="149">
        <f>SUM('AC-SCH'!F43)</f>
        <v>43399.660754687487</v>
      </c>
      <c r="J56" s="147"/>
      <c r="K56" s="148">
        <f t="shared" si="1"/>
        <v>0.28592889571241809</v>
      </c>
      <c r="L56" s="147"/>
      <c r="M56" s="135" t="s">
        <v>467</v>
      </c>
    </row>
    <row r="57" spans="1:14">
      <c r="A57" s="135" t="s">
        <v>484</v>
      </c>
      <c r="D57" s="144" t="s">
        <v>471</v>
      </c>
      <c r="E57" s="144" t="s">
        <v>551</v>
      </c>
      <c r="F57" s="144" t="s">
        <v>546</v>
      </c>
      <c r="G57" s="149">
        <v>42399.660754687487</v>
      </c>
      <c r="H57" s="146"/>
      <c r="I57" s="149">
        <f>SUBTOTAL(9,'AC-SCH'!D44)</f>
        <v>43459.652273554668</v>
      </c>
      <c r="J57" s="147"/>
      <c r="K57" s="148">
        <f t="shared" si="1"/>
        <v>2.4390243902438824E-2</v>
      </c>
      <c r="L57" s="147"/>
      <c r="M57" s="135" t="s">
        <v>467</v>
      </c>
    </row>
    <row r="58" spans="1:14">
      <c r="A58" s="135" t="s">
        <v>485</v>
      </c>
      <c r="D58" s="144" t="s">
        <v>486</v>
      </c>
      <c r="E58" s="144" t="s">
        <v>552</v>
      </c>
      <c r="F58" s="144" t="s">
        <v>408</v>
      </c>
      <c r="G58" s="149">
        <v>51519.577000000005</v>
      </c>
      <c r="H58" s="146"/>
      <c r="I58" s="149">
        <f>SUM('AC-SCH'!D143)</f>
        <v>52678.577000000005</v>
      </c>
      <c r="J58" s="147"/>
      <c r="K58" s="148">
        <f t="shared" si="1"/>
        <v>2.2001353605280549E-2</v>
      </c>
      <c r="L58" s="147"/>
      <c r="M58" s="135" t="s">
        <v>467</v>
      </c>
    </row>
    <row r="59" spans="1:14">
      <c r="A59" s="135" t="s">
        <v>487</v>
      </c>
      <c r="D59" s="144" t="s">
        <v>488</v>
      </c>
      <c r="E59" s="144" t="s">
        <v>182</v>
      </c>
      <c r="F59" s="144" t="s">
        <v>182</v>
      </c>
      <c r="G59" s="149">
        <v>51500.260436991273</v>
      </c>
      <c r="H59" s="146"/>
      <c r="I59" s="149">
        <f>SUM('AC-SCH'!F127)</f>
        <v>54026.608797604044</v>
      </c>
      <c r="J59" s="147"/>
      <c r="K59" s="148">
        <f t="shared" si="1"/>
        <v>4.6761187067599352E-2</v>
      </c>
      <c r="L59" s="147"/>
      <c r="M59" s="135" t="s">
        <v>467</v>
      </c>
    </row>
    <row r="60" spans="1:14">
      <c r="A60" s="135" t="s">
        <v>489</v>
      </c>
      <c r="D60" s="144" t="s">
        <v>490</v>
      </c>
      <c r="E60" s="144" t="s">
        <v>553</v>
      </c>
      <c r="F60" s="144" t="s">
        <v>554</v>
      </c>
      <c r="G60" s="150">
        <v>17.188595710000001</v>
      </c>
      <c r="H60" s="146"/>
      <c r="I60" s="152">
        <f>G60*1.03</f>
        <v>17.704253581300001</v>
      </c>
      <c r="J60" s="153"/>
      <c r="K60" s="148">
        <f t="shared" si="1"/>
        <v>2.9126213592232997E-2</v>
      </c>
      <c r="L60" s="153"/>
      <c r="M60" s="135" t="s">
        <v>467</v>
      </c>
    </row>
    <row r="61" spans="1:14">
      <c r="A61" s="135" t="s">
        <v>491</v>
      </c>
      <c r="D61" s="144" t="s">
        <v>492</v>
      </c>
      <c r="E61" s="144" t="s">
        <v>553</v>
      </c>
      <c r="F61" s="144" t="s">
        <v>555</v>
      </c>
      <c r="G61" s="150">
        <v>10.927270000000002</v>
      </c>
      <c r="H61" s="146"/>
      <c r="I61" s="152">
        <f>G61*1.03</f>
        <v>11.255088100000002</v>
      </c>
      <c r="J61" s="153"/>
      <c r="K61" s="148">
        <f t="shared" si="1"/>
        <v>2.9126213592232997E-2</v>
      </c>
      <c r="L61" s="153"/>
      <c r="M61" s="135" t="s">
        <v>467</v>
      </c>
    </row>
    <row r="62" spans="1:14">
      <c r="A62" s="135" t="s">
        <v>491</v>
      </c>
      <c r="D62" s="144" t="s">
        <v>395</v>
      </c>
      <c r="E62" s="144" t="s">
        <v>395</v>
      </c>
      <c r="F62" s="144" t="s">
        <v>395</v>
      </c>
      <c r="G62" s="149">
        <v>100247.43879751611</v>
      </c>
      <c r="H62" s="146"/>
      <c r="I62" s="149">
        <f>SUM('AC-SCH'!D11)</f>
        <v>87688.54305489338</v>
      </c>
      <c r="J62" s="147"/>
      <c r="K62" s="148">
        <f t="shared" ref="K62:K103" si="2">1-SUM(G62/I62)</f>
        <v>-0.14322162628201962</v>
      </c>
      <c r="L62" s="147"/>
      <c r="M62" s="135" t="s">
        <v>467</v>
      </c>
    </row>
    <row r="63" spans="1:14">
      <c r="A63" s="135" t="s">
        <v>493</v>
      </c>
      <c r="D63" s="144" t="s">
        <v>494</v>
      </c>
      <c r="E63" s="144" t="s">
        <v>556</v>
      </c>
      <c r="F63" s="144" t="s">
        <v>556</v>
      </c>
      <c r="G63" s="149">
        <v>59999.639027162579</v>
      </c>
      <c r="H63" s="146"/>
      <c r="I63" s="149">
        <f>SUM('AC-SCH'!D29)</f>
        <v>62557.708197977459</v>
      </c>
      <c r="J63" s="147"/>
      <c r="K63" s="148">
        <f t="shared" si="2"/>
        <v>4.0891350474657973E-2</v>
      </c>
      <c r="L63" s="147"/>
      <c r="M63" s="135" t="s">
        <v>467</v>
      </c>
    </row>
    <row r="64" spans="1:14">
      <c r="A64" s="135" t="s">
        <v>493</v>
      </c>
      <c r="D64" s="144" t="s">
        <v>494</v>
      </c>
      <c r="E64" s="144" t="s">
        <v>556</v>
      </c>
      <c r="F64" s="144" t="s">
        <v>556</v>
      </c>
      <c r="G64" s="149">
        <v>57500.164885627841</v>
      </c>
      <c r="H64" s="146"/>
      <c r="I64" s="149">
        <f>SUM('AC-SCH'!H25)</f>
        <v>58966.639832196677</v>
      </c>
      <c r="J64" s="147"/>
      <c r="K64" s="148">
        <f t="shared" si="2"/>
        <v>2.4869569484407328E-2</v>
      </c>
      <c r="L64" s="147"/>
      <c r="M64" s="135" t="s">
        <v>467</v>
      </c>
    </row>
    <row r="65" spans="1:14">
      <c r="A65" s="135" t="s">
        <v>495</v>
      </c>
      <c r="D65" s="144" t="s">
        <v>496</v>
      </c>
      <c r="E65" s="144" t="s">
        <v>188</v>
      </c>
      <c r="F65" s="144" t="s">
        <v>496</v>
      </c>
      <c r="G65" s="150">
        <v>9.8891793500000009</v>
      </c>
      <c r="H65" s="146"/>
      <c r="I65" s="152">
        <f>G65*1.03</f>
        <v>10.185854730500001</v>
      </c>
      <c r="J65" s="153"/>
      <c r="K65" s="148">
        <f t="shared" si="2"/>
        <v>2.9126213592232997E-2</v>
      </c>
      <c r="L65" s="153"/>
      <c r="M65" s="135" t="s">
        <v>467</v>
      </c>
      <c r="N65" s="150"/>
    </row>
    <row r="66" spans="1:14">
      <c r="A66" s="135" t="s">
        <v>495</v>
      </c>
      <c r="D66" s="144" t="s">
        <v>496</v>
      </c>
      <c r="E66" s="144" t="s">
        <v>188</v>
      </c>
      <c r="F66" s="144" t="s">
        <v>496</v>
      </c>
      <c r="G66" s="150">
        <v>10.4901792</v>
      </c>
      <c r="H66" s="146"/>
      <c r="I66" s="152">
        <f>G66*1.03</f>
        <v>10.804884576000001</v>
      </c>
      <c r="J66" s="153"/>
      <c r="K66" s="148">
        <f t="shared" si="2"/>
        <v>2.9126213592233108E-2</v>
      </c>
      <c r="L66" s="153"/>
      <c r="M66" s="135" t="s">
        <v>467</v>
      </c>
      <c r="N66" s="150"/>
    </row>
    <row r="67" spans="1:14">
      <c r="A67" s="135" t="s">
        <v>495</v>
      </c>
      <c r="D67" s="144" t="s">
        <v>496</v>
      </c>
      <c r="E67" s="144" t="s">
        <v>188</v>
      </c>
      <c r="F67" s="144" t="s">
        <v>496</v>
      </c>
      <c r="G67" s="150">
        <v>10.4901792</v>
      </c>
      <c r="H67" s="146"/>
      <c r="I67" s="152">
        <f>G67*1.03</f>
        <v>10.804884576000001</v>
      </c>
      <c r="J67" s="153"/>
      <c r="K67" s="148">
        <f t="shared" si="2"/>
        <v>2.9126213592233108E-2</v>
      </c>
      <c r="L67" s="153"/>
      <c r="M67" s="135" t="s">
        <v>467</v>
      </c>
      <c r="N67" s="150"/>
    </row>
    <row r="68" spans="1:14">
      <c r="A68" s="135" t="s">
        <v>495</v>
      </c>
      <c r="D68" s="144" t="s">
        <v>497</v>
      </c>
      <c r="E68" s="144" t="s">
        <v>188</v>
      </c>
      <c r="F68" s="144" t="s">
        <v>557</v>
      </c>
      <c r="G68" s="150">
        <v>9.834543</v>
      </c>
      <c r="H68" s="146"/>
      <c r="I68" s="152">
        <f>G68*1.03</f>
        <v>10.129579290000001</v>
      </c>
      <c r="J68" s="153"/>
      <c r="K68" s="148">
        <f t="shared" si="2"/>
        <v>2.9126213592233108E-2</v>
      </c>
      <c r="L68" s="153"/>
      <c r="M68" s="135" t="s">
        <v>467</v>
      </c>
      <c r="N68" s="150"/>
    </row>
    <row r="69" spans="1:14">
      <c r="A69" s="135" t="s">
        <v>495</v>
      </c>
      <c r="D69" s="144" t="s">
        <v>497</v>
      </c>
      <c r="E69" s="144" t="s">
        <v>188</v>
      </c>
      <c r="F69" s="144" t="s">
        <v>557</v>
      </c>
      <c r="G69" s="150">
        <v>19.527031490000002</v>
      </c>
      <c r="H69" s="146"/>
      <c r="I69" s="152">
        <f>G69*1.03</f>
        <v>20.112842434700003</v>
      </c>
      <c r="J69" s="153"/>
      <c r="K69" s="148">
        <f t="shared" si="2"/>
        <v>2.9126213592232997E-2</v>
      </c>
      <c r="L69" s="153"/>
      <c r="M69" s="135" t="s">
        <v>467</v>
      </c>
      <c r="N69" s="150"/>
    </row>
    <row r="70" spans="1:14">
      <c r="A70" s="135" t="s">
        <v>498</v>
      </c>
      <c r="D70" s="144" t="s">
        <v>499</v>
      </c>
      <c r="E70" s="144" t="s">
        <v>185</v>
      </c>
      <c r="F70" s="144" t="s">
        <v>184</v>
      </c>
      <c r="G70" s="149">
        <v>39338.172000000006</v>
      </c>
      <c r="H70" s="146"/>
      <c r="I70" s="149">
        <f>SUM('OP-SCH'!D85)</f>
        <v>40518.317160000006</v>
      </c>
      <c r="J70" s="147"/>
      <c r="K70" s="148">
        <f t="shared" si="2"/>
        <v>2.9126213592232997E-2</v>
      </c>
      <c r="L70" s="147"/>
      <c r="M70" s="135" t="s">
        <v>500</v>
      </c>
    </row>
    <row r="71" spans="1:14">
      <c r="A71" s="135" t="s">
        <v>498</v>
      </c>
      <c r="D71" s="144" t="s">
        <v>492</v>
      </c>
      <c r="E71" s="144" t="s">
        <v>185</v>
      </c>
      <c r="F71" s="144" t="s">
        <v>184</v>
      </c>
      <c r="G71" s="150">
        <v>15.199832570000002</v>
      </c>
      <c r="H71" s="146"/>
      <c r="I71" s="152">
        <f>G71*1.03</f>
        <v>15.655827547100001</v>
      </c>
      <c r="J71" s="153"/>
      <c r="K71" s="148">
        <f t="shared" si="2"/>
        <v>2.9126213592232997E-2</v>
      </c>
      <c r="L71" s="153"/>
      <c r="M71" s="135" t="s">
        <v>500</v>
      </c>
    </row>
    <row r="72" spans="1:14">
      <c r="A72" s="135" t="s">
        <v>501</v>
      </c>
      <c r="D72" s="144" t="s">
        <v>502</v>
      </c>
      <c r="E72" s="144" t="s">
        <v>558</v>
      </c>
      <c r="F72" s="144" t="s">
        <v>558</v>
      </c>
      <c r="G72" s="149">
        <v>53962.828622516579</v>
      </c>
      <c r="H72" s="146"/>
      <c r="I72" s="145">
        <f>SUM('AC-SCH'!D28)</f>
        <v>60735.639027162579</v>
      </c>
      <c r="J72" s="147"/>
      <c r="K72" s="148">
        <f t="shared" si="2"/>
        <v>0.11151295208431111</v>
      </c>
      <c r="L72" s="147"/>
      <c r="M72" s="135" t="s">
        <v>500</v>
      </c>
    </row>
    <row r="73" spans="1:14">
      <c r="A73" s="135" t="s">
        <v>503</v>
      </c>
      <c r="D73" s="144" t="s">
        <v>504</v>
      </c>
      <c r="G73" s="149">
        <v>43611.890675165996</v>
      </c>
      <c r="H73" s="146"/>
      <c r="I73" s="149">
        <f>SUM('OP-SCH'!D64)</f>
        <v>49085.567175656186</v>
      </c>
      <c r="J73" s="147"/>
      <c r="K73" s="148">
        <f t="shared" si="2"/>
        <v>0.11151295208431122</v>
      </c>
      <c r="L73" s="147"/>
      <c r="M73" s="135" t="s">
        <v>500</v>
      </c>
    </row>
    <row r="74" spans="1:14">
      <c r="A74" s="135" t="s">
        <v>505</v>
      </c>
      <c r="D74" s="144" t="s">
        <v>506</v>
      </c>
      <c r="G74" s="149">
        <v>117295.88120810651</v>
      </c>
      <c r="H74" s="146"/>
      <c r="I74" s="149">
        <f>SUM('STF-SCH'!F10)</f>
        <v>117295.88120810651</v>
      </c>
      <c r="J74" s="147"/>
      <c r="K74" s="148">
        <f t="shared" si="2"/>
        <v>0</v>
      </c>
      <c r="L74" s="147"/>
      <c r="M74" s="135" t="s">
        <v>500</v>
      </c>
    </row>
    <row r="75" spans="1:14">
      <c r="A75" s="135" t="s">
        <v>489</v>
      </c>
      <c r="D75" s="144" t="s">
        <v>507</v>
      </c>
      <c r="G75" s="149">
        <v>52793.341343622007</v>
      </c>
      <c r="H75" s="146"/>
      <c r="I75" s="149">
        <f>SUM('OP-SCH'!D102)</f>
        <v>54377.141583930672</v>
      </c>
      <c r="J75" s="147"/>
      <c r="K75" s="148">
        <f t="shared" si="2"/>
        <v>2.9126213592233108E-2</v>
      </c>
      <c r="L75" s="147"/>
      <c r="M75" s="135" t="s">
        <v>500</v>
      </c>
    </row>
    <row r="76" spans="1:14">
      <c r="A76" s="135" t="s">
        <v>508</v>
      </c>
      <c r="D76" s="144" t="s">
        <v>509</v>
      </c>
      <c r="G76" s="149">
        <v>42313.503711949998</v>
      </c>
      <c r="H76" s="146"/>
      <c r="I76" s="149">
        <f>SUM('OP-SCH'!F87)</f>
        <v>43582.908823308499</v>
      </c>
      <c r="J76" s="147"/>
      <c r="K76" s="148">
        <f t="shared" si="2"/>
        <v>2.9126213592232997E-2</v>
      </c>
      <c r="L76" s="147"/>
      <c r="M76" s="135" t="s">
        <v>500</v>
      </c>
    </row>
    <row r="77" spans="1:14">
      <c r="A77" s="135" t="s">
        <v>510</v>
      </c>
      <c r="D77" s="144" t="s">
        <v>432</v>
      </c>
      <c r="G77" s="149">
        <v>42341.641432199998</v>
      </c>
      <c r="H77" s="146"/>
      <c r="I77" s="149">
        <f>SUM('OP-SCH'!D46)</f>
        <v>43611.890675165996</v>
      </c>
      <c r="J77" s="147"/>
      <c r="K77" s="148">
        <f t="shared" si="2"/>
        <v>2.9126213592232997E-2</v>
      </c>
      <c r="L77" s="147"/>
      <c r="M77" s="135" t="s">
        <v>500</v>
      </c>
    </row>
    <row r="78" spans="1:14">
      <c r="A78" s="135" t="s">
        <v>510</v>
      </c>
      <c r="D78" s="144" t="s">
        <v>511</v>
      </c>
      <c r="G78" s="149">
        <v>78890.259097678296</v>
      </c>
      <c r="H78" s="146"/>
      <c r="I78" s="149">
        <f>SUM('OP-SCH'!D12)</f>
        <v>81256.966870608652</v>
      </c>
      <c r="J78" s="147"/>
      <c r="K78" s="148">
        <f t="shared" si="2"/>
        <v>2.9126213592233108E-2</v>
      </c>
      <c r="L78" s="147"/>
      <c r="M78" s="135" t="s">
        <v>500</v>
      </c>
    </row>
    <row r="79" spans="1:14">
      <c r="A79" s="135" t="s">
        <v>495</v>
      </c>
      <c r="D79" s="144" t="s">
        <v>512</v>
      </c>
      <c r="G79" s="149">
        <v>62207.470150356596</v>
      </c>
      <c r="H79" s="146"/>
      <c r="I79" s="149">
        <f>SUM('FC-SCH'!F15)</f>
        <v>64073.694254867296</v>
      </c>
      <c r="J79" s="147"/>
      <c r="K79" s="148">
        <f t="shared" si="2"/>
        <v>2.9126213592232997E-2</v>
      </c>
      <c r="L79" s="147"/>
      <c r="M79" s="135" t="s">
        <v>500</v>
      </c>
    </row>
    <row r="80" spans="1:14">
      <c r="A80" s="135" t="s">
        <v>513</v>
      </c>
      <c r="D80" s="144" t="s">
        <v>514</v>
      </c>
      <c r="G80" s="149">
        <v>69870.603994056059</v>
      </c>
      <c r="H80" s="146"/>
      <c r="I80" s="149">
        <f>SUM('OP-SCH'!D150)</f>
        <v>71966.722113877739</v>
      </c>
      <c r="J80" s="147"/>
      <c r="K80" s="148">
        <f t="shared" si="2"/>
        <v>2.9126213592232997E-2</v>
      </c>
      <c r="L80" s="147"/>
      <c r="M80" s="135" t="s">
        <v>500</v>
      </c>
    </row>
    <row r="81" spans="1:16">
      <c r="A81" s="135" t="s">
        <v>513</v>
      </c>
      <c r="D81" s="144" t="s">
        <v>515</v>
      </c>
      <c r="G81" s="150">
        <v>17.5</v>
      </c>
      <c r="H81" s="146"/>
      <c r="I81" s="152">
        <f>17.5*1.03</f>
        <v>18.025000000000002</v>
      </c>
      <c r="J81" s="153"/>
      <c r="K81" s="148">
        <f t="shared" si="2"/>
        <v>2.9126213592233108E-2</v>
      </c>
      <c r="L81" s="153"/>
      <c r="M81" s="135" t="s">
        <v>500</v>
      </c>
    </row>
    <row r="82" spans="1:16">
      <c r="A82" s="135" t="s">
        <v>468</v>
      </c>
      <c r="D82" s="144" t="s">
        <v>469</v>
      </c>
      <c r="E82" s="144" t="s">
        <v>470</v>
      </c>
      <c r="F82" s="144" t="s">
        <v>470</v>
      </c>
      <c r="G82" s="149">
        <v>22497.233219999998</v>
      </c>
      <c r="H82" s="146"/>
      <c r="I82" s="149">
        <f>SUBTOTAL(9,'AC-SCH'!D83)</f>
        <v>23172.150216599999</v>
      </c>
      <c r="J82" s="147"/>
      <c r="K82" s="148">
        <f t="shared" si="2"/>
        <v>2.9126213592232997E-2</v>
      </c>
      <c r="L82" s="147"/>
      <c r="M82" s="135" t="s">
        <v>516</v>
      </c>
    </row>
    <row r="83" spans="1:16">
      <c r="A83" s="135" t="s">
        <v>472</v>
      </c>
      <c r="D83" s="144" t="s">
        <v>471</v>
      </c>
      <c r="E83" s="144" t="s">
        <v>477</v>
      </c>
      <c r="F83" s="144" t="s">
        <v>477</v>
      </c>
      <c r="G83" s="149">
        <v>32753.16</v>
      </c>
      <c r="H83" s="146"/>
      <c r="I83" s="154">
        <f>SUM('AC-SCH'!D41)</f>
        <v>40356.607499999998</v>
      </c>
      <c r="J83" s="147"/>
      <c r="K83" s="148">
        <f t="shared" si="2"/>
        <v>0.18840650815359039</v>
      </c>
      <c r="L83" s="147"/>
      <c r="M83" s="135" t="s">
        <v>516</v>
      </c>
    </row>
    <row r="84" spans="1:16">
      <c r="A84" s="135" t="s">
        <v>472</v>
      </c>
      <c r="D84" s="144" t="s">
        <v>471</v>
      </c>
      <c r="E84" s="144" t="s">
        <v>482</v>
      </c>
      <c r="F84" s="144" t="s">
        <v>482</v>
      </c>
      <c r="G84" s="149">
        <v>40356.607499999998</v>
      </c>
      <c r="H84" s="146"/>
      <c r="I84" s="149">
        <f>SUBTOTAL(9,'AC-SCH'!D42)</f>
        <v>41365.522687499993</v>
      </c>
      <c r="J84" s="147"/>
      <c r="K84" s="148">
        <f t="shared" si="2"/>
        <v>2.4390243902438935E-2</v>
      </c>
      <c r="L84" s="147"/>
      <c r="M84" s="135" t="s">
        <v>516</v>
      </c>
    </row>
    <row r="85" spans="1:16">
      <c r="A85" s="135" t="s">
        <v>491</v>
      </c>
      <c r="B85" s="226"/>
      <c r="C85" s="226"/>
      <c r="D85" s="144" t="s">
        <v>395</v>
      </c>
      <c r="G85" s="149">
        <v>80247.438797516108</v>
      </c>
      <c r="H85" s="146"/>
      <c r="I85" s="145">
        <f>SUM('AC-SCH'!D5)</f>
        <v>73437.774300000005</v>
      </c>
      <c r="J85" s="147"/>
      <c r="K85" s="148">
        <f t="shared" si="2"/>
        <v>-9.2727000000000004E-2</v>
      </c>
      <c r="L85" s="147"/>
      <c r="M85" s="135" t="s">
        <v>516</v>
      </c>
    </row>
    <row r="86" spans="1:16">
      <c r="A86" s="135" t="s">
        <v>493</v>
      </c>
      <c r="B86" s="227"/>
      <c r="C86" s="227"/>
      <c r="D86" s="228" t="s">
        <v>494</v>
      </c>
      <c r="E86" s="228"/>
      <c r="F86" s="228"/>
      <c r="G86" s="149">
        <v>58966.639832196677</v>
      </c>
      <c r="H86" s="146"/>
      <c r="I86" s="145">
        <f>SUM('AC-SCH'!D23)</f>
        <v>52391.095750016095</v>
      </c>
      <c r="J86" s="147"/>
      <c r="K86" s="148">
        <f t="shared" si="2"/>
        <v>-0.12550881000000014</v>
      </c>
      <c r="L86" s="147"/>
      <c r="M86" s="135" t="s">
        <v>516</v>
      </c>
    </row>
    <row r="87" spans="1:16">
      <c r="A87" s="135" t="s">
        <v>468</v>
      </c>
      <c r="D87" s="144" t="s">
        <v>469</v>
      </c>
      <c r="E87" s="144" t="s">
        <v>470</v>
      </c>
      <c r="F87" s="144" t="s">
        <v>470</v>
      </c>
      <c r="G87" s="149">
        <v>22497.233219999998</v>
      </c>
      <c r="H87" s="146"/>
      <c r="I87" s="149">
        <f>SUBTOTAL(9,'AC-SCH'!D83)</f>
        <v>23172.150216599999</v>
      </c>
      <c r="J87" s="147"/>
      <c r="K87" s="148">
        <f t="shared" si="2"/>
        <v>2.9126213592232997E-2</v>
      </c>
      <c r="L87" s="147"/>
      <c r="M87" s="135" t="s">
        <v>436</v>
      </c>
    </row>
    <row r="88" spans="1:16">
      <c r="A88" s="135" t="s">
        <v>468</v>
      </c>
      <c r="D88" s="144" t="s">
        <v>471</v>
      </c>
      <c r="E88" s="144" t="s">
        <v>477</v>
      </c>
      <c r="F88" s="144" t="s">
        <v>477</v>
      </c>
      <c r="G88" s="149">
        <v>41365.522687499993</v>
      </c>
      <c r="H88" s="146"/>
      <c r="I88" s="149">
        <f>SUBTOTAL(9,'AC-SCH'!D43)</f>
        <v>42399.660754687487</v>
      </c>
      <c r="J88" s="147"/>
      <c r="K88" s="148">
        <f t="shared" si="2"/>
        <v>2.4390243902438935E-2</v>
      </c>
      <c r="L88" s="147"/>
      <c r="M88" s="135" t="s">
        <v>436</v>
      </c>
    </row>
    <row r="89" spans="1:16">
      <c r="A89" s="135" t="s">
        <v>468</v>
      </c>
      <c r="D89" s="144" t="s">
        <v>471</v>
      </c>
      <c r="E89" s="144" t="s">
        <v>470</v>
      </c>
      <c r="F89" s="144" t="s">
        <v>470</v>
      </c>
      <c r="G89" s="149">
        <v>33571.988999999994</v>
      </c>
      <c r="H89" s="146"/>
      <c r="I89" s="149">
        <f>SUM('AC-SCH'!D66)</f>
        <v>42531</v>
      </c>
      <c r="J89" s="147"/>
      <c r="K89" s="148">
        <f t="shared" si="2"/>
        <v>0.21064661070748414</v>
      </c>
      <c r="L89" s="147"/>
      <c r="M89" s="135" t="s">
        <v>436</v>
      </c>
    </row>
    <row r="90" spans="1:16">
      <c r="A90" s="135" t="s">
        <v>468</v>
      </c>
      <c r="D90" s="144" t="s">
        <v>471</v>
      </c>
      <c r="E90" s="144" t="s">
        <v>470</v>
      </c>
      <c r="F90" s="144" t="s">
        <v>470</v>
      </c>
      <c r="G90" s="149">
        <v>41365.522687499993</v>
      </c>
      <c r="H90" s="146"/>
      <c r="I90" s="149">
        <f>SUBTOTAL(9,'AC-SCH'!D43)</f>
        <v>42399.660754687487</v>
      </c>
      <c r="J90" s="147"/>
      <c r="K90" s="148">
        <f t="shared" si="2"/>
        <v>2.4390243902438935E-2</v>
      </c>
      <c r="L90" s="147"/>
      <c r="M90" s="135" t="s">
        <v>436</v>
      </c>
    </row>
    <row r="91" spans="1:16">
      <c r="A91" s="135" t="s">
        <v>468</v>
      </c>
      <c r="D91" s="144" t="s">
        <v>471</v>
      </c>
      <c r="E91" s="144" t="s">
        <v>517</v>
      </c>
      <c r="F91" s="144" t="s">
        <v>517</v>
      </c>
      <c r="G91" s="149">
        <v>43399.660754687487</v>
      </c>
      <c r="H91" s="146"/>
      <c r="I91" s="149">
        <f>SUM('AC-SCH'!D68)</f>
        <v>43332</v>
      </c>
      <c r="J91" s="147"/>
      <c r="K91" s="148">
        <f t="shared" si="2"/>
        <v>-1.5614500758673877E-3</v>
      </c>
      <c r="L91" s="147"/>
      <c r="M91" s="135" t="s">
        <v>436</v>
      </c>
    </row>
    <row r="92" spans="1:16">
      <c r="A92" s="135" t="s">
        <v>472</v>
      </c>
      <c r="D92" s="144" t="s">
        <v>471</v>
      </c>
      <c r="E92" s="144" t="s">
        <v>482</v>
      </c>
      <c r="F92" s="144" t="s">
        <v>482</v>
      </c>
      <c r="G92" s="149">
        <v>30990.443680806125</v>
      </c>
      <c r="H92" s="146"/>
      <c r="I92" s="149">
        <f>SUBTOTAL(9,'AC-SCH'!D174)</f>
        <v>33571.988999999994</v>
      </c>
      <c r="J92" s="147"/>
      <c r="K92" s="148">
        <f t="shared" si="2"/>
        <v>7.6895810945067034E-2</v>
      </c>
      <c r="L92" s="147"/>
      <c r="M92" s="135" t="s">
        <v>436</v>
      </c>
      <c r="P92" s="135">
        <f>9*2080</f>
        <v>18720</v>
      </c>
    </row>
    <row r="93" spans="1:16">
      <c r="A93" s="135" t="s">
        <v>518</v>
      </c>
      <c r="D93" s="144" t="s">
        <v>519</v>
      </c>
      <c r="G93" s="149">
        <v>34889.634935594018</v>
      </c>
      <c r="H93" s="146"/>
      <c r="I93" s="149">
        <f>SUM('OP-SCH'!F126)</f>
        <v>35936.323983661838</v>
      </c>
      <c r="J93" s="147"/>
      <c r="K93" s="148">
        <f t="shared" si="2"/>
        <v>2.9126213592232997E-2</v>
      </c>
      <c r="L93" s="147"/>
      <c r="M93" s="135" t="s">
        <v>436</v>
      </c>
    </row>
    <row r="94" spans="1:16">
      <c r="A94" s="135" t="s">
        <v>493</v>
      </c>
      <c r="D94" s="144" t="s">
        <v>520</v>
      </c>
      <c r="G94" s="149">
        <v>59999.639027162579</v>
      </c>
      <c r="H94" s="146"/>
      <c r="I94" s="149">
        <f>SUM('AC-SCH'!D4)</f>
        <v>71298.81</v>
      </c>
      <c r="J94" s="147"/>
      <c r="K94" s="148">
        <f t="shared" si="2"/>
        <v>0.15847629115882045</v>
      </c>
      <c r="L94" s="147"/>
      <c r="M94" s="135" t="s">
        <v>436</v>
      </c>
    </row>
    <row r="95" spans="1:16">
      <c r="A95" s="135" t="s">
        <v>508</v>
      </c>
      <c r="D95" s="144" t="s">
        <v>521</v>
      </c>
      <c r="G95" s="150">
        <v>13.26125</v>
      </c>
      <c r="H95" s="146"/>
      <c r="I95" s="152">
        <f>G95*1.03</f>
        <v>13.6590875</v>
      </c>
      <c r="J95" s="153"/>
      <c r="K95" s="148">
        <f t="shared" si="2"/>
        <v>2.9126213592232997E-2</v>
      </c>
      <c r="L95" s="153"/>
      <c r="M95" s="135" t="s">
        <v>500</v>
      </c>
    </row>
    <row r="96" spans="1:16">
      <c r="A96" s="135" t="s">
        <v>495</v>
      </c>
      <c r="D96" s="144" t="s">
        <v>497</v>
      </c>
      <c r="G96" s="150">
        <v>13.399167</v>
      </c>
      <c r="H96" s="146"/>
      <c r="I96" s="152">
        <f>G96*1.03</f>
        <v>13.801142010000001</v>
      </c>
      <c r="J96" s="153"/>
      <c r="K96" s="148">
        <f t="shared" si="2"/>
        <v>2.9126213592233108E-2</v>
      </c>
      <c r="L96" s="153"/>
      <c r="M96" s="135" t="s">
        <v>530</v>
      </c>
    </row>
    <row r="97" spans="1:13">
      <c r="A97" s="135" t="s">
        <v>495</v>
      </c>
      <c r="D97" s="144" t="s">
        <v>522</v>
      </c>
      <c r="G97" s="150">
        <v>9.5480999999999998</v>
      </c>
      <c r="H97" s="146"/>
      <c r="I97" s="152">
        <f>G97*1.03</f>
        <v>9.834543</v>
      </c>
      <c r="J97" s="153"/>
      <c r="K97" s="148">
        <f t="shared" si="2"/>
        <v>2.9126213592232997E-2</v>
      </c>
      <c r="L97" s="153"/>
      <c r="M97" s="135" t="s">
        <v>530</v>
      </c>
    </row>
    <row r="98" spans="1:13">
      <c r="A98" s="135" t="s">
        <v>523</v>
      </c>
      <c r="D98" s="144" t="s">
        <v>524</v>
      </c>
      <c r="G98" s="149">
        <v>52441.183242781772</v>
      </c>
      <c r="H98" s="146"/>
      <c r="I98" s="149">
        <f>SUM('STF-SCH'!D73)</f>
        <v>54014.418740065223</v>
      </c>
      <c r="J98" s="147"/>
      <c r="K98" s="148">
        <f t="shared" si="2"/>
        <v>2.9126213592232997E-2</v>
      </c>
      <c r="L98" s="147"/>
      <c r="M98" s="135" t="s">
        <v>500</v>
      </c>
    </row>
    <row r="99" spans="1:13">
      <c r="A99" s="135" t="s">
        <v>523</v>
      </c>
      <c r="D99" s="144" t="s">
        <v>525</v>
      </c>
      <c r="G99" s="150">
        <v>18.555140999999999</v>
      </c>
      <c r="H99" s="146"/>
      <c r="I99" s="152">
        <f>G99*1.03</f>
        <v>19.111795229999998</v>
      </c>
      <c r="J99" s="153"/>
      <c r="K99" s="148">
        <f t="shared" si="2"/>
        <v>2.9126213592232997E-2</v>
      </c>
      <c r="L99" s="153"/>
      <c r="M99" s="135" t="s">
        <v>531</v>
      </c>
    </row>
    <row r="100" spans="1:13">
      <c r="A100" s="135" t="s">
        <v>523</v>
      </c>
      <c r="D100" s="144" t="s">
        <v>526</v>
      </c>
      <c r="G100" s="150">
        <v>16.115071</v>
      </c>
      <c r="H100" s="146"/>
      <c r="I100" s="152">
        <f>G100*1.03</f>
        <v>16.59852313</v>
      </c>
      <c r="J100" s="153"/>
      <c r="K100" s="148">
        <f t="shared" si="2"/>
        <v>2.9126213592232997E-2</v>
      </c>
      <c r="L100" s="153"/>
      <c r="M100" s="135" t="s">
        <v>531</v>
      </c>
    </row>
    <row r="101" spans="1:13">
      <c r="A101" s="135" t="s">
        <v>523</v>
      </c>
      <c r="D101" s="144" t="s">
        <v>527</v>
      </c>
      <c r="G101" s="150">
        <v>11.638073000000002</v>
      </c>
      <c r="H101" s="146"/>
      <c r="I101" s="152">
        <f>G101*1.03</f>
        <v>11.987215190000002</v>
      </c>
      <c r="J101" s="153"/>
      <c r="K101" s="148">
        <f t="shared" si="2"/>
        <v>2.9126213592232997E-2</v>
      </c>
      <c r="L101" s="153"/>
      <c r="M101" s="135" t="s">
        <v>531</v>
      </c>
    </row>
    <row r="102" spans="1:13">
      <c r="A102" s="135" t="s">
        <v>523</v>
      </c>
      <c r="D102" s="144" t="s">
        <v>527</v>
      </c>
      <c r="G102" s="150">
        <v>9.5480999999999998</v>
      </c>
      <c r="H102" s="146"/>
      <c r="I102" s="152">
        <f>G102*1.03</f>
        <v>9.834543</v>
      </c>
      <c r="J102" s="153"/>
      <c r="K102" s="148">
        <f t="shared" si="2"/>
        <v>2.9126213592232997E-2</v>
      </c>
      <c r="L102" s="153"/>
      <c r="M102" s="135" t="s">
        <v>531</v>
      </c>
    </row>
    <row r="103" spans="1:13">
      <c r="A103" s="135" t="s">
        <v>523</v>
      </c>
      <c r="D103" s="144" t="s">
        <v>528</v>
      </c>
      <c r="G103" s="150">
        <v>14.322150000000002</v>
      </c>
      <c r="H103" s="146"/>
      <c r="I103" s="152">
        <f>G103*1.03</f>
        <v>14.751814500000004</v>
      </c>
      <c r="J103" s="153"/>
      <c r="K103" s="148">
        <f t="shared" si="2"/>
        <v>2.9126213592233108E-2</v>
      </c>
      <c r="L103" s="153"/>
      <c r="M103" s="135" t="s">
        <v>531</v>
      </c>
    </row>
    <row r="104" spans="1:13">
      <c r="I104" s="152"/>
    </row>
    <row r="107" spans="1:13">
      <c r="A107" s="135" t="s">
        <v>529</v>
      </c>
    </row>
  </sheetData>
  <sheetProtection password="DBA3" sheet="1" objects="1" scenarios="1"/>
  <printOptions horizontalCentered="1" verticalCentered="1" gridLines="1"/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2:Q196"/>
  <sheetViews>
    <sheetView tabSelected="1" workbookViewId="0">
      <pane xSplit="2" ySplit="10" topLeftCell="F181" activePane="bottomRight" state="frozen"/>
      <selection activeCell="C186" sqref="C186"/>
      <selection pane="topRight" activeCell="C186" sqref="C186"/>
      <selection pane="bottomLeft" activeCell="C186" sqref="C186"/>
      <selection pane="bottomRight" activeCell="G5" sqref="G5"/>
    </sheetView>
  </sheetViews>
  <sheetFormatPr baseColWidth="10" defaultColWidth="11.42578125" defaultRowHeight="10" outlineLevelRow="1" x14ac:dyDescent="0"/>
  <cols>
    <col min="1" max="1" width="15" style="31" customWidth="1"/>
    <col min="2" max="2" width="26.85546875" style="31" customWidth="1"/>
    <col min="3" max="4" width="13" style="30" customWidth="1"/>
    <col min="5" max="5" width="2.7109375" style="26" customWidth="1"/>
    <col min="6" max="7" width="12.5703125" style="30" bestFit="1" customWidth="1"/>
    <col min="8" max="8" width="2.7109375" style="26" customWidth="1"/>
    <col min="9" max="9" width="13.28515625" style="30" customWidth="1"/>
    <col min="10" max="10" width="11.42578125" style="30"/>
    <col min="11" max="11" width="2.7109375" style="26" customWidth="1"/>
    <col min="12" max="12" width="12.28515625" style="30" bestFit="1" customWidth="1"/>
    <col min="13" max="13" width="14.28515625" style="30" bestFit="1" customWidth="1"/>
    <col min="14" max="14" width="2.7109375" style="26" customWidth="1"/>
    <col min="15" max="16" width="13.7109375" style="30" customWidth="1"/>
    <col min="17" max="17" width="3.42578125" style="26" customWidth="1"/>
    <col min="18" max="16384" width="11.42578125" style="26"/>
  </cols>
  <sheetData>
    <row r="2" spans="1:17">
      <c r="B2" s="30" t="s">
        <v>614</v>
      </c>
      <c r="C2" s="303">
        <v>8526</v>
      </c>
      <c r="F2" s="303">
        <f>C2</f>
        <v>8526</v>
      </c>
      <c r="I2" s="303">
        <v>9636</v>
      </c>
    </row>
    <row r="3" spans="1:17">
      <c r="B3" s="174" t="s">
        <v>584</v>
      </c>
      <c r="C3" s="174" t="s">
        <v>585</v>
      </c>
    </row>
    <row r="4" spans="1:17">
      <c r="A4" s="31" t="s">
        <v>433</v>
      </c>
      <c r="B4" s="32">
        <v>640</v>
      </c>
      <c r="C4" s="23">
        <v>584</v>
      </c>
      <c r="D4" s="176">
        <f>B4/B$8</f>
        <v>0.50996015936254979</v>
      </c>
    </row>
    <row r="5" spans="1:17">
      <c r="A5" s="31" t="s">
        <v>586</v>
      </c>
      <c r="B5" s="32"/>
      <c r="C5" s="23">
        <v>0</v>
      </c>
      <c r="D5" s="176">
        <f t="shared" ref="D5:D7" si="0">B5/B$8</f>
        <v>0</v>
      </c>
    </row>
    <row r="6" spans="1:17">
      <c r="A6" s="31" t="s">
        <v>434</v>
      </c>
      <c r="B6" s="32">
        <v>215</v>
      </c>
      <c r="C6" s="23">
        <v>152</v>
      </c>
      <c r="D6" s="176">
        <f t="shared" si="0"/>
        <v>0.17131474103585656</v>
      </c>
    </row>
    <row r="7" spans="1:17" s="27" customFormat="1">
      <c r="A7" s="28" t="s">
        <v>587</v>
      </c>
      <c r="B7" s="32">
        <v>400</v>
      </c>
      <c r="C7" s="23">
        <v>324</v>
      </c>
      <c r="D7" s="176">
        <f t="shared" si="0"/>
        <v>0.31872509960159362</v>
      </c>
      <c r="F7" s="116"/>
      <c r="G7" s="116"/>
      <c r="I7" s="116"/>
      <c r="J7" s="116"/>
      <c r="L7" s="116"/>
      <c r="M7" s="116"/>
      <c r="O7" s="116"/>
      <c r="P7" s="116"/>
    </row>
    <row r="8" spans="1:17">
      <c r="B8" s="175">
        <f>SUM(B4:B7)</f>
        <v>1255</v>
      </c>
      <c r="C8" s="92" t="s">
        <v>576</v>
      </c>
      <c r="D8" s="92" t="s">
        <v>576</v>
      </c>
      <c r="F8" s="118" t="s">
        <v>577</v>
      </c>
      <c r="G8" s="118" t="s">
        <v>577</v>
      </c>
      <c r="I8" s="98" t="s">
        <v>604</v>
      </c>
      <c r="J8" s="98" t="s">
        <v>604</v>
      </c>
      <c r="L8" s="104" t="s">
        <v>500</v>
      </c>
      <c r="M8" s="104" t="s">
        <v>500</v>
      </c>
      <c r="O8" s="110" t="s">
        <v>454</v>
      </c>
      <c r="P8" s="110" t="s">
        <v>367</v>
      </c>
    </row>
    <row r="9" spans="1:17" s="29" customFormat="1">
      <c r="A9" s="31"/>
      <c r="B9" s="31"/>
      <c r="C9" s="125" t="s">
        <v>588</v>
      </c>
      <c r="D9" s="125" t="s">
        <v>453</v>
      </c>
      <c r="F9" s="124" t="s">
        <v>588</v>
      </c>
      <c r="G9" s="124" t="s">
        <v>453</v>
      </c>
      <c r="I9" s="123" t="s">
        <v>588</v>
      </c>
      <c r="J9" s="123" t="s">
        <v>453</v>
      </c>
      <c r="L9" s="159" t="s">
        <v>588</v>
      </c>
      <c r="M9" s="159" t="s">
        <v>453</v>
      </c>
      <c r="O9" s="126" t="s">
        <v>588</v>
      </c>
      <c r="P9" s="126" t="s">
        <v>453</v>
      </c>
    </row>
    <row r="10" spans="1:17" s="34" customFormat="1" ht="11" thickBot="1">
      <c r="A10" s="33"/>
      <c r="B10" s="33" t="s">
        <v>174</v>
      </c>
      <c r="C10" s="93" t="s">
        <v>367</v>
      </c>
      <c r="D10" s="93" t="s">
        <v>642</v>
      </c>
      <c r="E10" s="115"/>
      <c r="F10" s="119" t="s">
        <v>367</v>
      </c>
      <c r="G10" s="119" t="s">
        <v>642</v>
      </c>
      <c r="H10" s="115"/>
      <c r="I10" s="99" t="s">
        <v>367</v>
      </c>
      <c r="J10" s="99" t="s">
        <v>642</v>
      </c>
      <c r="K10" s="115"/>
      <c r="L10" s="105" t="s">
        <v>441</v>
      </c>
      <c r="M10" s="105" t="s">
        <v>642</v>
      </c>
      <c r="N10" s="115"/>
      <c r="O10" s="111" t="s">
        <v>367</v>
      </c>
      <c r="P10" s="111" t="s">
        <v>642</v>
      </c>
      <c r="Q10" s="115"/>
    </row>
    <row r="11" spans="1:17">
      <c r="A11" s="31" t="s">
        <v>268</v>
      </c>
      <c r="C11" s="91"/>
      <c r="D11" s="91"/>
      <c r="E11" s="24"/>
      <c r="F11" s="117"/>
      <c r="G11" s="117"/>
      <c r="H11" s="24"/>
      <c r="I11" s="97"/>
      <c r="J11" s="97"/>
      <c r="K11" s="24"/>
      <c r="L11" s="103"/>
      <c r="M11" s="103"/>
      <c r="N11" s="24"/>
      <c r="O11" s="109"/>
      <c r="P11" s="109"/>
      <c r="Q11" s="24"/>
    </row>
    <row r="12" spans="1:17" outlineLevel="1">
      <c r="A12" s="31" t="s">
        <v>269</v>
      </c>
      <c r="C12" s="91"/>
      <c r="D12" s="91"/>
      <c r="E12" s="24"/>
      <c r="F12" s="117"/>
      <c r="G12" s="117"/>
      <c r="H12" s="24"/>
      <c r="I12" s="97"/>
      <c r="J12" s="97"/>
      <c r="K12" s="24"/>
      <c r="L12" s="103"/>
      <c r="M12" s="103"/>
      <c r="N12" s="24"/>
      <c r="O12" s="109"/>
      <c r="P12" s="109"/>
      <c r="Q12" s="24"/>
    </row>
    <row r="13" spans="1:17" outlineLevel="1">
      <c r="A13" s="31" t="s">
        <v>171</v>
      </c>
      <c r="B13" s="31" t="s">
        <v>270</v>
      </c>
      <c r="C13" s="94">
        <f>SUM(CAMP!BQ13)</f>
        <v>75000</v>
      </c>
      <c r="D13" s="95">
        <v>0</v>
      </c>
      <c r="E13" s="64"/>
      <c r="F13" s="120">
        <f>SUM(OLIVIER!AM13)</f>
        <v>0</v>
      </c>
      <c r="G13" s="120"/>
      <c r="H13" s="64"/>
      <c r="I13" s="100">
        <f>SUM(BUNCHE!BB13)</f>
        <v>75000</v>
      </c>
      <c r="J13" s="100"/>
      <c r="K13" s="64"/>
      <c r="L13" s="107">
        <f>SUM(CMO!T13)</f>
        <v>125000</v>
      </c>
      <c r="M13" s="106"/>
      <c r="N13" s="64"/>
      <c r="O13" s="113">
        <f>SUM(C13+F13+I13+L13)</f>
        <v>275000</v>
      </c>
      <c r="P13" s="112">
        <f>SUM(D13+G13+J13+M13)</f>
        <v>0</v>
      </c>
      <c r="Q13" s="64"/>
    </row>
    <row r="14" spans="1:17" outlineLevel="1">
      <c r="A14" s="31" t="s">
        <v>172</v>
      </c>
      <c r="B14" s="31" t="s">
        <v>271</v>
      </c>
      <c r="C14" s="95">
        <f>SUM(CAMP!BQ14)</f>
        <v>150000</v>
      </c>
      <c r="D14" s="95">
        <f>34426.62+58338</f>
        <v>92764.62</v>
      </c>
      <c r="E14" s="64"/>
      <c r="F14" s="121">
        <f>SUM(OLIVIER!AM14)</f>
        <v>75000</v>
      </c>
      <c r="G14" s="121">
        <f>7501.34+6326.8</f>
        <v>13828.14</v>
      </c>
      <c r="H14" s="64"/>
      <c r="I14" s="101">
        <f>SUM(BUNCHE!BB14)</f>
        <v>135000</v>
      </c>
      <c r="J14" s="101">
        <f>19963.79+6722.45</f>
        <v>26686.240000000002</v>
      </c>
      <c r="K14" s="64"/>
      <c r="L14" s="107">
        <f>SUM(CMO!T14)</f>
        <v>120000</v>
      </c>
      <c r="M14" s="107">
        <f>26960.34+35490</f>
        <v>62450.34</v>
      </c>
      <c r="N14" s="64"/>
      <c r="O14" s="113">
        <f t="shared" ref="O14:O37" si="1">SUM(C14+F14+I14+L14)</f>
        <v>480000</v>
      </c>
      <c r="P14" s="113">
        <f t="shared" ref="P14:P37" si="2">SUM(D14+G14+J14+M14)</f>
        <v>195729.34</v>
      </c>
      <c r="Q14" s="64"/>
    </row>
    <row r="15" spans="1:17" outlineLevel="1">
      <c r="A15" s="31" t="s">
        <v>173</v>
      </c>
      <c r="B15" s="31" t="s">
        <v>272</v>
      </c>
      <c r="C15" s="95">
        <f>SUM(CAMP!BQ15)</f>
        <v>0</v>
      </c>
      <c r="D15" s="95">
        <v>0</v>
      </c>
      <c r="E15" s="64"/>
      <c r="F15" s="121">
        <f>SUM(OLIVIER!AM15)</f>
        <v>0</v>
      </c>
      <c r="G15" s="121"/>
      <c r="H15" s="64"/>
      <c r="I15" s="101">
        <f>SUM(BUNCHE!BB15)</f>
        <v>0</v>
      </c>
      <c r="J15" s="101"/>
      <c r="K15" s="64"/>
      <c r="L15" s="107">
        <f>SUM(CMO!T15)</f>
        <v>5000</v>
      </c>
      <c r="M15" s="107"/>
      <c r="N15" s="64"/>
      <c r="O15" s="113">
        <f t="shared" si="1"/>
        <v>5000</v>
      </c>
      <c r="P15" s="113">
        <f t="shared" si="2"/>
        <v>0</v>
      </c>
      <c r="Q15" s="64"/>
    </row>
    <row r="16" spans="1:17" outlineLevel="1">
      <c r="A16" s="31" t="s">
        <v>193</v>
      </c>
      <c r="B16" s="31" t="s">
        <v>273</v>
      </c>
      <c r="C16" s="95">
        <f>SUM(CAMP!BQ16)</f>
        <v>102400</v>
      </c>
      <c r="D16" s="95">
        <v>78760</v>
      </c>
      <c r="E16" s="64"/>
      <c r="F16" s="121">
        <f>SUM(OLIVIER!AM16)</f>
        <v>34400</v>
      </c>
      <c r="G16" s="121">
        <v>14786.23</v>
      </c>
      <c r="H16" s="64"/>
      <c r="I16" s="101">
        <f>SUM(BUNCHE!BB16)</f>
        <v>64000</v>
      </c>
      <c r="J16" s="101">
        <v>24204.63</v>
      </c>
      <c r="K16" s="64"/>
      <c r="L16" s="107">
        <f>SUM(CMO!T16)</f>
        <v>0</v>
      </c>
      <c r="M16" s="107">
        <v>16520.25</v>
      </c>
      <c r="N16" s="64"/>
      <c r="O16" s="113">
        <f t="shared" si="1"/>
        <v>200800</v>
      </c>
      <c r="P16" s="113">
        <f t="shared" si="2"/>
        <v>134271.10999999999</v>
      </c>
      <c r="Q16" s="64"/>
    </row>
    <row r="17" spans="1:17" outlineLevel="1">
      <c r="A17" s="31" t="s">
        <v>194</v>
      </c>
      <c r="B17" s="31" t="s">
        <v>274</v>
      </c>
      <c r="C17" s="95">
        <f>SUM(CAMP!BQ17)</f>
        <v>67500</v>
      </c>
      <c r="D17" s="95">
        <v>146422.85999999999</v>
      </c>
      <c r="E17" s="64"/>
      <c r="F17" s="121">
        <f>SUM(OLIVIER!AM17)</f>
        <v>33750</v>
      </c>
      <c r="G17" s="121">
        <v>41185.5</v>
      </c>
      <c r="H17" s="64"/>
      <c r="I17" s="101">
        <f>SUM(BUNCHE!BB17)</f>
        <v>33750</v>
      </c>
      <c r="J17" s="101">
        <v>35476.379999999997</v>
      </c>
      <c r="K17" s="64"/>
      <c r="L17" s="107">
        <f>SUM(CMO!T17)</f>
        <v>0</v>
      </c>
      <c r="M17" s="107"/>
      <c r="N17" s="64"/>
      <c r="O17" s="113">
        <f t="shared" si="1"/>
        <v>135000</v>
      </c>
      <c r="P17" s="113">
        <f t="shared" si="2"/>
        <v>223084.74</v>
      </c>
      <c r="Q17" s="64"/>
    </row>
    <row r="18" spans="1:17" outlineLevel="1">
      <c r="A18" s="31" t="s">
        <v>195</v>
      </c>
      <c r="B18" s="31" t="s">
        <v>275</v>
      </c>
      <c r="C18" s="95">
        <f>SUM(CAMP!BQ18)</f>
        <v>0</v>
      </c>
      <c r="D18" s="95">
        <v>0</v>
      </c>
      <c r="E18" s="64"/>
      <c r="F18" s="121">
        <f>SUM(OLIVIER!AM18)</f>
        <v>0</v>
      </c>
      <c r="G18" s="121"/>
      <c r="H18" s="64"/>
      <c r="I18" s="101">
        <f>SUM(BUNCHE!BB18)</f>
        <v>0</v>
      </c>
      <c r="J18" s="101"/>
      <c r="K18" s="64"/>
      <c r="L18" s="107">
        <f>SUM(CMO!T18)</f>
        <v>0</v>
      </c>
      <c r="M18" s="107"/>
      <c r="N18" s="64"/>
      <c r="O18" s="113">
        <f t="shared" si="1"/>
        <v>0</v>
      </c>
      <c r="P18" s="113">
        <f t="shared" si="2"/>
        <v>0</v>
      </c>
      <c r="Q18" s="64"/>
    </row>
    <row r="19" spans="1:17" outlineLevel="1">
      <c r="A19" s="31" t="s">
        <v>196</v>
      </c>
      <c r="B19" s="31" t="s">
        <v>276</v>
      </c>
      <c r="C19" s="95">
        <f>SUM(CAMP!BQ19)</f>
        <v>0</v>
      </c>
      <c r="D19" s="95">
        <v>0</v>
      </c>
      <c r="E19" s="64"/>
      <c r="F19" s="121">
        <f>SUM(OLIVIER!AM19)</f>
        <v>0</v>
      </c>
      <c r="G19" s="121"/>
      <c r="H19" s="64"/>
      <c r="I19" s="101">
        <f>SUM(BUNCHE!BB19)</f>
        <v>0</v>
      </c>
      <c r="J19" s="101"/>
      <c r="K19" s="64"/>
      <c r="L19" s="107">
        <f>SUM(CMO!T19)</f>
        <v>0</v>
      </c>
      <c r="M19" s="107"/>
      <c r="N19" s="64"/>
      <c r="O19" s="113">
        <f t="shared" si="1"/>
        <v>0</v>
      </c>
      <c r="P19" s="113">
        <f t="shared" si="2"/>
        <v>0</v>
      </c>
      <c r="Q19" s="64"/>
    </row>
    <row r="20" spans="1:17" outlineLevel="1">
      <c r="A20" s="31" t="s">
        <v>197</v>
      </c>
      <c r="B20" s="31" t="s">
        <v>277</v>
      </c>
      <c r="C20" s="95">
        <f>SUM(CAMP!BQ20)</f>
        <v>60800</v>
      </c>
      <c r="D20" s="95">
        <v>0</v>
      </c>
      <c r="E20" s="64"/>
      <c r="F20" s="121">
        <f>SUM(OLIVIER!AM20)</f>
        <v>20425</v>
      </c>
      <c r="G20" s="121"/>
      <c r="H20" s="64"/>
      <c r="I20" s="101">
        <f>SUM(BUNCHE!BB20)</f>
        <v>0</v>
      </c>
      <c r="J20" s="101"/>
      <c r="K20" s="64"/>
      <c r="L20" s="107">
        <f>SUM(CMO!T20)</f>
        <v>0</v>
      </c>
      <c r="M20" s="107"/>
      <c r="N20" s="64"/>
      <c r="O20" s="113">
        <f t="shared" si="1"/>
        <v>81225</v>
      </c>
      <c r="P20" s="113">
        <f t="shared" si="2"/>
        <v>0</v>
      </c>
      <c r="Q20" s="64"/>
    </row>
    <row r="21" spans="1:17" outlineLevel="1">
      <c r="A21" s="31" t="s">
        <v>198</v>
      </c>
      <c r="B21" s="31" t="s">
        <v>278</v>
      </c>
      <c r="C21" s="95">
        <f>SUM(CAMP!BQ21)</f>
        <v>53200</v>
      </c>
      <c r="D21" s="95">
        <v>69757.679999999993</v>
      </c>
      <c r="E21" s="64"/>
      <c r="F21" s="121">
        <f>SUM(OLIVIER!AM21)</f>
        <v>40850</v>
      </c>
      <c r="G21" s="121">
        <v>18427.580000000002</v>
      </c>
      <c r="H21" s="64"/>
      <c r="I21" s="101">
        <f>SUM(BUNCHE!BB21)</f>
        <v>76000</v>
      </c>
      <c r="J21" s="101">
        <v>40802.480000000003</v>
      </c>
      <c r="K21" s="64"/>
      <c r="L21" s="107">
        <f>SUM(CMO!T21)</f>
        <v>0</v>
      </c>
      <c r="M21" s="107"/>
      <c r="N21" s="64"/>
      <c r="O21" s="113">
        <f t="shared" si="1"/>
        <v>170050</v>
      </c>
      <c r="P21" s="113">
        <f t="shared" si="2"/>
        <v>128987.73999999999</v>
      </c>
      <c r="Q21" s="64"/>
    </row>
    <row r="22" spans="1:17" outlineLevel="1">
      <c r="A22" s="31" t="s">
        <v>199</v>
      </c>
      <c r="B22" s="31" t="s">
        <v>279</v>
      </c>
      <c r="C22" s="95">
        <f>SUM(CAMP!BQ22)</f>
        <v>0</v>
      </c>
      <c r="D22" s="95">
        <v>0</v>
      </c>
      <c r="E22" s="64"/>
      <c r="F22" s="121">
        <f>SUM(OLIVIER!AM22)</f>
        <v>0</v>
      </c>
      <c r="G22" s="121"/>
      <c r="H22" s="64"/>
      <c r="I22" s="101">
        <f>SUM(BUNCHE!BB22)</f>
        <v>0</v>
      </c>
      <c r="J22" s="101"/>
      <c r="K22" s="64"/>
      <c r="L22" s="107">
        <f>SUM(CMO!T22)</f>
        <v>0</v>
      </c>
      <c r="M22" s="107"/>
      <c r="N22" s="64"/>
      <c r="O22" s="113">
        <f t="shared" si="1"/>
        <v>0</v>
      </c>
      <c r="P22" s="113">
        <f t="shared" si="2"/>
        <v>0</v>
      </c>
      <c r="Q22" s="64"/>
    </row>
    <row r="23" spans="1:17" outlineLevel="1">
      <c r="A23" s="31" t="s">
        <v>200</v>
      </c>
      <c r="B23" s="31" t="s">
        <v>280</v>
      </c>
      <c r="C23" s="95">
        <f>SUM(CAMP!BQ23)</f>
        <v>500</v>
      </c>
      <c r="D23" s="95">
        <v>1249</v>
      </c>
      <c r="E23" s="64"/>
      <c r="F23" s="121">
        <f>SUM(OLIVIER!AM23)</f>
        <v>500</v>
      </c>
      <c r="G23" s="121"/>
      <c r="H23" s="64"/>
      <c r="I23" s="101">
        <f>SUM(BUNCHE!BB23)</f>
        <v>500</v>
      </c>
      <c r="J23" s="101">
        <v>45</v>
      </c>
      <c r="K23" s="64"/>
      <c r="L23" s="107">
        <f>SUM(CMO!T23)</f>
        <v>0</v>
      </c>
      <c r="M23" s="107"/>
      <c r="N23" s="64"/>
      <c r="O23" s="113">
        <f t="shared" si="1"/>
        <v>1500</v>
      </c>
      <c r="P23" s="113">
        <f t="shared" si="2"/>
        <v>1294</v>
      </c>
      <c r="Q23" s="64"/>
    </row>
    <row r="24" spans="1:17" outlineLevel="1">
      <c r="A24" s="31" t="s">
        <v>201</v>
      </c>
      <c r="B24" s="31" t="s">
        <v>281</v>
      </c>
      <c r="C24" s="95">
        <f>SUM(CAMP!BQ24)</f>
        <v>0</v>
      </c>
      <c r="D24" s="95">
        <v>0</v>
      </c>
      <c r="E24" s="64"/>
      <c r="F24" s="121">
        <f>SUM(OLIVIER!AM24)</f>
        <v>0</v>
      </c>
      <c r="G24" s="121"/>
      <c r="H24" s="64"/>
      <c r="I24" s="101">
        <f>SUM(BUNCHE!BB24)</f>
        <v>0</v>
      </c>
      <c r="J24" s="101"/>
      <c r="K24" s="64"/>
      <c r="L24" s="107">
        <f>SUM(CMO!T24)</f>
        <v>0</v>
      </c>
      <c r="M24" s="107"/>
      <c r="N24" s="64"/>
      <c r="O24" s="113">
        <f t="shared" si="1"/>
        <v>0</v>
      </c>
      <c r="P24" s="113">
        <f t="shared" si="2"/>
        <v>0</v>
      </c>
      <c r="Q24" s="64"/>
    </row>
    <row r="25" spans="1:17" outlineLevel="1">
      <c r="A25" s="31" t="s">
        <v>202</v>
      </c>
      <c r="B25" s="31" t="s">
        <v>282</v>
      </c>
      <c r="C25" s="95">
        <f>SUM(CAMP!BQ25)</f>
        <v>0</v>
      </c>
      <c r="D25" s="95"/>
      <c r="E25" s="64"/>
      <c r="F25" s="121">
        <f>SUM(OLIVIER!AM25)</f>
        <v>0</v>
      </c>
      <c r="G25" s="121"/>
      <c r="H25" s="64"/>
      <c r="I25" s="101">
        <f>SUM(BUNCHE!BB25)</f>
        <v>0</v>
      </c>
      <c r="J25" s="101"/>
      <c r="K25" s="64"/>
      <c r="L25" s="107">
        <f>SUM(CMO!T25)</f>
        <v>0</v>
      </c>
      <c r="M25" s="107"/>
      <c r="N25" s="64"/>
      <c r="O25" s="113">
        <f t="shared" si="1"/>
        <v>0</v>
      </c>
      <c r="P25" s="113">
        <f t="shared" si="2"/>
        <v>0</v>
      </c>
      <c r="Q25" s="64"/>
    </row>
    <row r="26" spans="1:17" outlineLevel="1">
      <c r="A26" s="31" t="s">
        <v>203</v>
      </c>
      <c r="B26" s="31" t="s">
        <v>283</v>
      </c>
      <c r="C26" s="95">
        <f>SUM(CAMP!BQ26)</f>
        <v>0</v>
      </c>
      <c r="D26" s="95">
        <v>0</v>
      </c>
      <c r="E26" s="64"/>
      <c r="F26" s="121">
        <f>SUM(OLIVIER!AM26)</f>
        <v>0</v>
      </c>
      <c r="G26" s="121"/>
      <c r="H26" s="64"/>
      <c r="I26" s="101">
        <f>SUM(BUNCHE!BB26)</f>
        <v>0</v>
      </c>
      <c r="J26" s="101"/>
      <c r="K26" s="64"/>
      <c r="L26" s="107">
        <f>SUM(CMO!T26)</f>
        <v>0</v>
      </c>
      <c r="M26" s="107"/>
      <c r="N26" s="64"/>
      <c r="O26" s="113">
        <f t="shared" si="1"/>
        <v>0</v>
      </c>
      <c r="P26" s="113">
        <f t="shared" si="2"/>
        <v>0</v>
      </c>
      <c r="Q26" s="64"/>
    </row>
    <row r="27" spans="1:17" outlineLevel="1">
      <c r="A27" s="31" t="s">
        <v>204</v>
      </c>
      <c r="B27" s="31" t="s">
        <v>284</v>
      </c>
      <c r="C27" s="95">
        <f>SUM(CAMP!BQ27)</f>
        <v>0</v>
      </c>
      <c r="D27" s="95">
        <v>10069.73</v>
      </c>
      <c r="E27" s="64"/>
      <c r="F27" s="121">
        <f>SUM(OLIVIER!AM27)</f>
        <v>0</v>
      </c>
      <c r="G27" s="121">
        <v>3792</v>
      </c>
      <c r="H27" s="64"/>
      <c r="I27" s="101">
        <f>SUM(BUNCHE!BB27)</f>
        <v>0</v>
      </c>
      <c r="J27" s="101">
        <v>7249.22</v>
      </c>
      <c r="K27" s="64"/>
      <c r="L27" s="107">
        <f>SUM(CMO!T27)</f>
        <v>0</v>
      </c>
      <c r="M27" s="107"/>
      <c r="N27" s="64"/>
      <c r="O27" s="113">
        <f t="shared" si="1"/>
        <v>0</v>
      </c>
      <c r="P27" s="113">
        <f t="shared" si="2"/>
        <v>21110.95</v>
      </c>
      <c r="Q27" s="64"/>
    </row>
    <row r="28" spans="1:17" outlineLevel="1">
      <c r="A28" s="31" t="s">
        <v>205</v>
      </c>
      <c r="B28" s="31" t="s">
        <v>285</v>
      </c>
      <c r="C28" s="95">
        <f>SUM(CAMP!BQ28)</f>
        <v>0</v>
      </c>
      <c r="D28" s="95">
        <v>1443.75</v>
      </c>
      <c r="E28" s="64"/>
      <c r="F28" s="121">
        <f>SUM(OLIVIER!AM28)</f>
        <v>0</v>
      </c>
      <c r="G28" s="121">
        <v>2062.5</v>
      </c>
      <c r="H28" s="64"/>
      <c r="I28" s="101">
        <f>SUM(BUNCHE!BB28)</f>
        <v>0</v>
      </c>
      <c r="J28" s="101">
        <v>1237.5</v>
      </c>
      <c r="K28" s="64"/>
      <c r="L28" s="107">
        <f>SUM(CMO!T28)</f>
        <v>0</v>
      </c>
      <c r="M28" s="107"/>
      <c r="N28" s="64"/>
      <c r="O28" s="113">
        <f t="shared" si="1"/>
        <v>0</v>
      </c>
      <c r="P28" s="113">
        <f t="shared" si="2"/>
        <v>4743.75</v>
      </c>
      <c r="Q28" s="64"/>
    </row>
    <row r="29" spans="1:17" outlineLevel="1">
      <c r="A29" s="31" t="s">
        <v>206</v>
      </c>
      <c r="B29" s="31" t="s">
        <v>286</v>
      </c>
      <c r="C29" s="95">
        <f>SUM(CAMP!BQ29)</f>
        <v>300</v>
      </c>
      <c r="D29" s="95">
        <v>0</v>
      </c>
      <c r="E29" s="64"/>
      <c r="F29" s="121">
        <f>SUM(OLIVIER!AM29)</f>
        <v>300</v>
      </c>
      <c r="G29" s="121"/>
      <c r="H29" s="64"/>
      <c r="I29" s="101">
        <f>SUM(BUNCHE!BB29)</f>
        <v>300</v>
      </c>
      <c r="J29" s="101"/>
      <c r="K29" s="64"/>
      <c r="L29" s="107">
        <f>SUM(CMO!T29)</f>
        <v>0</v>
      </c>
      <c r="M29" s="107"/>
      <c r="N29" s="64"/>
      <c r="O29" s="113">
        <f t="shared" si="1"/>
        <v>900</v>
      </c>
      <c r="P29" s="113">
        <f t="shared" si="2"/>
        <v>0</v>
      </c>
      <c r="Q29" s="64"/>
    </row>
    <row r="30" spans="1:17" outlineLevel="1">
      <c r="A30" s="31" t="s">
        <v>208</v>
      </c>
      <c r="B30" s="31" t="s">
        <v>287</v>
      </c>
      <c r="C30" s="95">
        <f>SUM(CAMP!BQ30)</f>
        <v>0</v>
      </c>
      <c r="D30" s="95">
        <v>0</v>
      </c>
      <c r="E30" s="64"/>
      <c r="F30" s="121">
        <f>SUM(OLIVIER!AM30)</f>
        <v>0</v>
      </c>
      <c r="G30" s="121"/>
      <c r="H30" s="64"/>
      <c r="I30" s="101">
        <f>SUM(BUNCHE!BB30)</f>
        <v>0</v>
      </c>
      <c r="J30" s="101"/>
      <c r="K30" s="64"/>
      <c r="L30" s="107">
        <f>SUM(CMO!T30)</f>
        <v>0</v>
      </c>
      <c r="M30" s="107"/>
      <c r="N30" s="64"/>
      <c r="O30" s="113">
        <f t="shared" si="1"/>
        <v>0</v>
      </c>
      <c r="P30" s="113">
        <f t="shared" si="2"/>
        <v>0</v>
      </c>
      <c r="Q30" s="64"/>
    </row>
    <row r="31" spans="1:17" outlineLevel="1">
      <c r="A31" s="31" t="s">
        <v>207</v>
      </c>
      <c r="B31" s="31" t="s">
        <v>288</v>
      </c>
      <c r="C31" s="95">
        <f>SUM(CAMP!BQ31)</f>
        <v>0</v>
      </c>
      <c r="D31" s="95">
        <v>4.95</v>
      </c>
      <c r="E31" s="64"/>
      <c r="F31" s="121">
        <f>SUM(OLIVIER!AM31)</f>
        <v>0</v>
      </c>
      <c r="G31" s="121"/>
      <c r="H31" s="64"/>
      <c r="I31" s="101">
        <f>SUM(BUNCHE!BB31)</f>
        <v>0</v>
      </c>
      <c r="J31" s="101"/>
      <c r="K31" s="64"/>
      <c r="L31" s="107">
        <f>SUM(CMO!T31)</f>
        <v>5400</v>
      </c>
      <c r="M31" s="107">
        <v>2592</v>
      </c>
      <c r="N31" s="64"/>
      <c r="O31" s="113">
        <f t="shared" si="1"/>
        <v>5400</v>
      </c>
      <c r="P31" s="113">
        <f t="shared" si="2"/>
        <v>2596.9499999999998</v>
      </c>
      <c r="Q31" s="64"/>
    </row>
    <row r="32" spans="1:17" outlineLevel="1">
      <c r="A32" s="31" t="s">
        <v>209</v>
      </c>
      <c r="B32" s="31" t="s">
        <v>210</v>
      </c>
      <c r="C32" s="95">
        <f>SUM(CAMP!BQ32)</f>
        <v>0</v>
      </c>
      <c r="D32" s="95">
        <v>0</v>
      </c>
      <c r="E32" s="64"/>
      <c r="F32" s="121">
        <f>SUM(OLIVIER!AM32)</f>
        <v>0</v>
      </c>
      <c r="G32" s="121"/>
      <c r="H32" s="64"/>
      <c r="I32" s="101">
        <f>SUM(BUNCHE!BB32)</f>
        <v>0</v>
      </c>
      <c r="J32" s="101"/>
      <c r="K32" s="64"/>
      <c r="L32" s="107">
        <f>SUM(CMO!T32)</f>
        <v>1854000.75</v>
      </c>
      <c r="M32" s="107"/>
      <c r="N32" s="64"/>
      <c r="O32" s="113">
        <f t="shared" si="1"/>
        <v>1854000.75</v>
      </c>
      <c r="P32" s="113">
        <f t="shared" si="2"/>
        <v>0</v>
      </c>
      <c r="Q32" s="64"/>
    </row>
    <row r="33" spans="1:17" outlineLevel="1">
      <c r="A33" s="31" t="s">
        <v>213</v>
      </c>
      <c r="B33" s="31" t="s">
        <v>214</v>
      </c>
      <c r="C33" s="95">
        <f>SUM(CAMP!BQ33)</f>
        <v>25000</v>
      </c>
      <c r="D33" s="95">
        <v>0</v>
      </c>
      <c r="E33" s="64"/>
      <c r="F33" s="121">
        <f>SUM(OLIVIER!AM33)</f>
        <v>10000</v>
      </c>
      <c r="G33" s="121"/>
      <c r="H33" s="64"/>
      <c r="I33" s="101">
        <f>SUM(BUNCHE!BB33)</f>
        <v>25000</v>
      </c>
      <c r="J33" s="101"/>
      <c r="K33" s="64"/>
      <c r="L33" s="107">
        <f>SUM(CMO!T33)</f>
        <v>50000</v>
      </c>
      <c r="M33" s="107"/>
      <c r="N33" s="64"/>
      <c r="O33" s="113">
        <f t="shared" si="1"/>
        <v>110000</v>
      </c>
      <c r="P33" s="113">
        <f t="shared" si="2"/>
        <v>0</v>
      </c>
      <c r="Q33" s="64"/>
    </row>
    <row r="34" spans="1:17" outlineLevel="1">
      <c r="A34" s="31" t="s">
        <v>212</v>
      </c>
      <c r="B34" s="31" t="s">
        <v>289</v>
      </c>
      <c r="C34" s="95">
        <f>SUM(CAMP!BQ34)</f>
        <v>7200</v>
      </c>
      <c r="D34" s="95">
        <v>0</v>
      </c>
      <c r="E34" s="64"/>
      <c r="F34" s="121">
        <f>SUM(OLIVIER!AM34)</f>
        <v>0</v>
      </c>
      <c r="G34" s="121"/>
      <c r="H34" s="64"/>
      <c r="I34" s="101">
        <f>SUM(BUNCHE!BB34)</f>
        <v>0</v>
      </c>
      <c r="J34" s="101"/>
      <c r="K34" s="64"/>
      <c r="L34" s="107">
        <f>SUM(CMO!T34)</f>
        <v>0</v>
      </c>
      <c r="M34" s="107"/>
      <c r="N34" s="64"/>
      <c r="O34" s="113">
        <f t="shared" si="1"/>
        <v>7200</v>
      </c>
      <c r="P34" s="113">
        <f t="shared" si="2"/>
        <v>0</v>
      </c>
      <c r="Q34" s="64"/>
    </row>
    <row r="35" spans="1:17" outlineLevel="1">
      <c r="A35" s="31" t="s">
        <v>211</v>
      </c>
      <c r="B35" s="31" t="s">
        <v>290</v>
      </c>
      <c r="C35" s="95">
        <f>SUM(CAMP!BQ35)</f>
        <v>0</v>
      </c>
      <c r="D35" s="95">
        <v>2929.86</v>
      </c>
      <c r="E35" s="64"/>
      <c r="F35" s="121">
        <f>SUM(OLIVIER!AM35)</f>
        <v>0</v>
      </c>
      <c r="G35" s="121"/>
      <c r="H35" s="64"/>
      <c r="I35" s="101">
        <f>SUM(BUNCHE!BB35)</f>
        <v>100000</v>
      </c>
      <c r="J35" s="101"/>
      <c r="K35" s="64"/>
      <c r="L35" s="107">
        <f>SUM(CMO!T35)</f>
        <v>13500</v>
      </c>
      <c r="M35" s="107">
        <f>1523198.79+425.99</f>
        <v>1523624.78</v>
      </c>
      <c r="N35" s="64"/>
      <c r="O35" s="113">
        <f t="shared" si="1"/>
        <v>113500</v>
      </c>
      <c r="P35" s="113">
        <f t="shared" si="2"/>
        <v>1526554.6400000001</v>
      </c>
      <c r="Q35" s="64"/>
    </row>
    <row r="36" spans="1:17" outlineLevel="1">
      <c r="A36" s="31" t="s">
        <v>215</v>
      </c>
      <c r="B36" s="31" t="s">
        <v>291</v>
      </c>
      <c r="C36" s="95">
        <f>SUM(CAMP!BQ36)</f>
        <v>0</v>
      </c>
      <c r="D36" s="95"/>
      <c r="E36" s="64"/>
      <c r="F36" s="121">
        <f>SUM(OLIVIER!AM36)</f>
        <v>0</v>
      </c>
      <c r="G36" s="121"/>
      <c r="H36" s="64"/>
      <c r="I36" s="101">
        <f>SUM(BUNCHE!BB36)</f>
        <v>0</v>
      </c>
      <c r="J36" s="101"/>
      <c r="K36" s="64"/>
      <c r="L36" s="107">
        <f>SUM(CMO!T36)</f>
        <v>0</v>
      </c>
      <c r="M36" s="107">
        <v>736.5</v>
      </c>
      <c r="N36" s="64"/>
      <c r="O36" s="113">
        <f t="shared" si="1"/>
        <v>0</v>
      </c>
      <c r="P36" s="113">
        <f t="shared" si="2"/>
        <v>736.5</v>
      </c>
      <c r="Q36" s="64"/>
    </row>
    <row r="37" spans="1:17" outlineLevel="1">
      <c r="A37" s="31" t="s">
        <v>216</v>
      </c>
      <c r="B37" s="31" t="s">
        <v>292</v>
      </c>
      <c r="C37" s="96">
        <f>SUM(CAMP!BQ37)</f>
        <v>0</v>
      </c>
      <c r="D37" s="96">
        <v>0</v>
      </c>
      <c r="E37" s="64"/>
      <c r="F37" s="122">
        <f>SUM(OLIVIER!AM37)</f>
        <v>0</v>
      </c>
      <c r="G37" s="122"/>
      <c r="H37" s="64"/>
      <c r="I37" s="102">
        <f>SUM(BUNCHE!BB37)</f>
        <v>0</v>
      </c>
      <c r="J37" s="102"/>
      <c r="K37" s="64"/>
      <c r="L37" s="108">
        <f>SUM(CMO!T37)</f>
        <v>0</v>
      </c>
      <c r="M37" s="108"/>
      <c r="N37" s="64"/>
      <c r="O37" s="114">
        <f t="shared" si="1"/>
        <v>0</v>
      </c>
      <c r="P37" s="114">
        <f t="shared" si="2"/>
        <v>0</v>
      </c>
      <c r="Q37" s="64"/>
    </row>
    <row r="38" spans="1:17">
      <c r="B38" s="31" t="s">
        <v>293</v>
      </c>
      <c r="C38" s="94">
        <f t="shared" ref="C38" si="3">+SUM(C13:C37)</f>
        <v>541900</v>
      </c>
      <c r="D38" s="94">
        <f t="shared" ref="D38" si="4">+SUM(D13:D37)</f>
        <v>403402.44999999995</v>
      </c>
      <c r="E38" s="64"/>
      <c r="F38" s="120">
        <f t="shared" ref="F38" si="5">+SUM(F13:F37)</f>
        <v>215225</v>
      </c>
      <c r="G38" s="120">
        <f t="shared" ref="G38" si="6">+SUM(G13:G37)</f>
        <v>94081.95</v>
      </c>
      <c r="H38" s="64"/>
      <c r="I38" s="100">
        <f>+SUM(I13:I37)</f>
        <v>509550</v>
      </c>
      <c r="J38" s="100">
        <f t="shared" ref="J38" si="7">+SUM(J13:J37)</f>
        <v>135701.45000000001</v>
      </c>
      <c r="K38" s="64"/>
      <c r="L38" s="106">
        <f t="shared" ref="L38:M38" si="8">+SUM(L13:L37)</f>
        <v>2172900.75</v>
      </c>
      <c r="M38" s="106">
        <f t="shared" si="8"/>
        <v>1605923.87</v>
      </c>
      <c r="N38" s="64"/>
      <c r="O38" s="112">
        <f>SUM(O13:O37)</f>
        <v>3439575.75</v>
      </c>
      <c r="P38" s="112">
        <f>SUM(P13:P37)</f>
        <v>2239109.7199999997</v>
      </c>
      <c r="Q38" s="64"/>
    </row>
    <row r="39" spans="1:17" outlineLevel="1">
      <c r="C39" s="94"/>
      <c r="D39" s="94"/>
      <c r="E39" s="64"/>
      <c r="F39" s="120"/>
      <c r="G39" s="120"/>
      <c r="H39" s="64"/>
      <c r="I39" s="100"/>
      <c r="J39" s="100"/>
      <c r="K39" s="64"/>
      <c r="L39" s="106"/>
      <c r="M39" s="106"/>
      <c r="N39" s="64"/>
      <c r="O39" s="112"/>
      <c r="P39" s="112"/>
      <c r="Q39" s="64"/>
    </row>
    <row r="40" spans="1:17" outlineLevel="1">
      <c r="A40" s="31" t="s">
        <v>294</v>
      </c>
      <c r="C40" s="94"/>
      <c r="D40" s="94"/>
      <c r="E40" s="64"/>
      <c r="F40" s="120"/>
      <c r="G40" s="120"/>
      <c r="H40" s="64"/>
      <c r="I40" s="100"/>
      <c r="J40" s="100"/>
      <c r="K40" s="64"/>
      <c r="L40" s="106"/>
      <c r="M40" s="106"/>
      <c r="N40" s="64"/>
      <c r="O40" s="112"/>
      <c r="P40" s="112"/>
      <c r="Q40" s="64"/>
    </row>
    <row r="41" spans="1:17" outlineLevel="1">
      <c r="A41" s="31" t="s">
        <v>217</v>
      </c>
      <c r="B41" s="31" t="s">
        <v>295</v>
      </c>
      <c r="C41" s="95">
        <f>SUM(CAMP!BQ41)</f>
        <v>5456640</v>
      </c>
      <c r="D41" s="95">
        <v>5186001</v>
      </c>
      <c r="E41" s="64"/>
      <c r="F41" s="121">
        <f>SUM(OLIVIER!AM41)</f>
        <v>1833090</v>
      </c>
      <c r="G41" s="121">
        <v>1253616</v>
      </c>
      <c r="H41" s="64"/>
      <c r="I41" s="101">
        <f>SUM(BUNCHE!BB41)</f>
        <v>3854400</v>
      </c>
      <c r="J41" s="101">
        <v>3038580</v>
      </c>
      <c r="K41" s="64"/>
      <c r="L41" s="107">
        <f>SUM(CMO!T41)</f>
        <v>0</v>
      </c>
      <c r="M41" s="107"/>
      <c r="N41" s="64"/>
      <c r="O41" s="113">
        <f t="shared" ref="O41:O48" si="9">SUM(C41+F41+I41+L41)</f>
        <v>11144130</v>
      </c>
      <c r="P41" s="113">
        <f t="shared" ref="P41:P48" si="10">SUM(D41+G41+J41+M41)</f>
        <v>9478197</v>
      </c>
      <c r="Q41" s="64"/>
    </row>
    <row r="42" spans="1:17" outlineLevel="1">
      <c r="A42" s="31" t="s">
        <v>218</v>
      </c>
      <c r="B42" s="31" t="s">
        <v>219</v>
      </c>
      <c r="C42" s="95">
        <f>SUM(CAMP!BQ42)</f>
        <v>60000</v>
      </c>
      <c r="D42" s="95">
        <v>111963.69</v>
      </c>
      <c r="E42" s="64"/>
      <c r="F42" s="121">
        <f>SUM(OLIVIER!AM42)</f>
        <v>0</v>
      </c>
      <c r="G42" s="121"/>
      <c r="H42" s="64"/>
      <c r="I42" s="101">
        <f>SUM(BUNCHE!BB42)</f>
        <v>36000</v>
      </c>
      <c r="J42" s="101">
        <v>13652.88</v>
      </c>
      <c r="K42" s="64"/>
      <c r="L42" s="107">
        <f>SUM(CMO!T42)</f>
        <v>0</v>
      </c>
      <c r="M42" s="107"/>
      <c r="N42" s="64"/>
      <c r="O42" s="113">
        <f t="shared" si="9"/>
        <v>96000</v>
      </c>
      <c r="P42" s="113">
        <f t="shared" si="10"/>
        <v>125616.57</v>
      </c>
      <c r="Q42" s="64"/>
    </row>
    <row r="43" spans="1:17" outlineLevel="1">
      <c r="A43" s="31" t="s">
        <v>220</v>
      </c>
      <c r="B43" s="31" t="s">
        <v>221</v>
      </c>
      <c r="C43" s="95">
        <f>SUM(CAMP!BQ43)</f>
        <v>0</v>
      </c>
      <c r="D43" s="95"/>
      <c r="E43" s="64"/>
      <c r="F43" s="121">
        <f>SUM(OLIVIER!AM43)</f>
        <v>0</v>
      </c>
      <c r="G43" s="121"/>
      <c r="H43" s="64"/>
      <c r="I43" s="101">
        <f>SUM(BUNCHE!BB43)</f>
        <v>0</v>
      </c>
      <c r="J43" s="101"/>
      <c r="K43" s="64"/>
      <c r="L43" s="107">
        <f>SUM(CMO!T43)</f>
        <v>0</v>
      </c>
      <c r="M43" s="107"/>
      <c r="N43" s="64"/>
      <c r="O43" s="113">
        <f t="shared" si="9"/>
        <v>0</v>
      </c>
      <c r="P43" s="113">
        <f t="shared" si="10"/>
        <v>0</v>
      </c>
      <c r="Q43" s="64"/>
    </row>
    <row r="44" spans="1:17" outlineLevel="1">
      <c r="A44" s="31" t="s">
        <v>222</v>
      </c>
      <c r="B44" s="31" t="s">
        <v>296</v>
      </c>
      <c r="C44" s="95">
        <f>SUM(CAMP!BQ44)</f>
        <v>0</v>
      </c>
      <c r="D44" s="95"/>
      <c r="E44" s="64"/>
      <c r="F44" s="121">
        <f>SUM(OLIVIER!AM44)</f>
        <v>0</v>
      </c>
      <c r="G44" s="121"/>
      <c r="H44" s="64"/>
      <c r="I44" s="101">
        <f>SUM(BUNCHE!BB44)</f>
        <v>0</v>
      </c>
      <c r="J44" s="101"/>
      <c r="K44" s="64"/>
      <c r="L44" s="107">
        <f>SUM(CMO!T44)</f>
        <v>0</v>
      </c>
      <c r="M44" s="107">
        <v>1320.46</v>
      </c>
      <c r="N44" s="64"/>
      <c r="O44" s="113">
        <f t="shared" si="9"/>
        <v>0</v>
      </c>
      <c r="P44" s="113">
        <f t="shared" si="10"/>
        <v>1320.46</v>
      </c>
      <c r="Q44" s="64"/>
    </row>
    <row r="45" spans="1:17" outlineLevel="1">
      <c r="A45" s="31" t="s">
        <v>223</v>
      </c>
      <c r="B45" s="31" t="s">
        <v>224</v>
      </c>
      <c r="C45" s="95">
        <f>SUM(CAMP!BQ45)</f>
        <v>0</v>
      </c>
      <c r="D45" s="95"/>
      <c r="E45" s="64"/>
      <c r="F45" s="121">
        <f>SUM(OLIVIER!AM45)</f>
        <v>0</v>
      </c>
      <c r="G45" s="121"/>
      <c r="H45" s="64"/>
      <c r="I45" s="101">
        <f>SUM(BUNCHE!BB45)</f>
        <v>0</v>
      </c>
      <c r="J45" s="101"/>
      <c r="K45" s="64"/>
      <c r="L45" s="107">
        <f>SUM(CMO!T45)</f>
        <v>0</v>
      </c>
      <c r="M45" s="107"/>
      <c r="N45" s="64"/>
      <c r="O45" s="113">
        <f t="shared" si="9"/>
        <v>0</v>
      </c>
      <c r="P45" s="113">
        <f t="shared" si="10"/>
        <v>0</v>
      </c>
      <c r="Q45" s="64"/>
    </row>
    <row r="46" spans="1:17" outlineLevel="1">
      <c r="A46" s="31" t="s">
        <v>225</v>
      </c>
      <c r="B46" s="31" t="s">
        <v>226</v>
      </c>
      <c r="C46" s="95">
        <f>SUM(CAMP!BQ46)</f>
        <v>0</v>
      </c>
      <c r="D46" s="95"/>
      <c r="E46" s="64"/>
      <c r="F46" s="121">
        <f>SUM(OLIVIER!AM46)</f>
        <v>0</v>
      </c>
      <c r="G46" s="121"/>
      <c r="H46" s="64"/>
      <c r="I46" s="101">
        <f>SUM(BUNCHE!BB46)</f>
        <v>0</v>
      </c>
      <c r="J46" s="101"/>
      <c r="K46" s="64"/>
      <c r="L46" s="107">
        <f>SUM(CMO!T46)</f>
        <v>0</v>
      </c>
      <c r="M46" s="107"/>
      <c r="N46" s="64"/>
      <c r="O46" s="113">
        <f t="shared" si="9"/>
        <v>0</v>
      </c>
      <c r="P46" s="113">
        <f t="shared" si="10"/>
        <v>0</v>
      </c>
      <c r="Q46" s="64"/>
    </row>
    <row r="47" spans="1:17" outlineLevel="1">
      <c r="A47" s="31" t="s">
        <v>227</v>
      </c>
      <c r="B47" s="31" t="s">
        <v>297</v>
      </c>
      <c r="C47" s="95">
        <f>SUM(CAMP!BQ47)</f>
        <v>0</v>
      </c>
      <c r="D47" s="95"/>
      <c r="E47" s="64"/>
      <c r="F47" s="121">
        <f>SUM(OLIVIER!AM47)</f>
        <v>0</v>
      </c>
      <c r="G47" s="121"/>
      <c r="H47" s="64"/>
      <c r="I47" s="101">
        <f>SUM(BUNCHE!BB47)</f>
        <v>0</v>
      </c>
      <c r="J47" s="101"/>
      <c r="K47" s="64"/>
      <c r="L47" s="107">
        <f>SUM(CMO!T47)</f>
        <v>0</v>
      </c>
      <c r="M47" s="107"/>
      <c r="N47" s="64"/>
      <c r="O47" s="113">
        <f t="shared" si="9"/>
        <v>0</v>
      </c>
      <c r="P47" s="113">
        <f t="shared" si="10"/>
        <v>0</v>
      </c>
      <c r="Q47" s="64"/>
    </row>
    <row r="48" spans="1:17" outlineLevel="1">
      <c r="A48" s="31" t="s">
        <v>228</v>
      </c>
      <c r="B48" s="31" t="s">
        <v>298</v>
      </c>
      <c r="C48" s="96">
        <f>SUM(CAMP!BQ48)</f>
        <v>0</v>
      </c>
      <c r="D48" s="96"/>
      <c r="E48" s="64"/>
      <c r="F48" s="122">
        <f>SUM(OLIVIER!AM48)</f>
        <v>0</v>
      </c>
      <c r="G48" s="122"/>
      <c r="H48" s="64"/>
      <c r="I48" s="102">
        <f>SUM(BUNCHE!BB48)</f>
        <v>0</v>
      </c>
      <c r="J48" s="102"/>
      <c r="K48" s="64"/>
      <c r="L48" s="108">
        <f>SUM(CMO!T48)</f>
        <v>0</v>
      </c>
      <c r="M48" s="108"/>
      <c r="N48" s="64"/>
      <c r="O48" s="114">
        <f t="shared" si="9"/>
        <v>0</v>
      </c>
      <c r="P48" s="114">
        <f t="shared" si="10"/>
        <v>0</v>
      </c>
      <c r="Q48" s="64"/>
    </row>
    <row r="49" spans="1:17">
      <c r="B49" s="31" t="s">
        <v>299</v>
      </c>
      <c r="C49" s="94">
        <f t="shared" ref="C49" si="11">+SUM(C41:C48)</f>
        <v>5516640</v>
      </c>
      <c r="D49" s="94">
        <f>+SUM(D41:D48)</f>
        <v>5297964.6900000004</v>
      </c>
      <c r="E49" s="127"/>
      <c r="F49" s="120">
        <f t="shared" ref="F49" si="12">+SUM(F41:F48)</f>
        <v>1833090</v>
      </c>
      <c r="G49" s="120">
        <f>+SUM(G41:G48)</f>
        <v>1253616</v>
      </c>
      <c r="H49" s="127"/>
      <c r="I49" s="100">
        <f t="shared" ref="I49:J49" si="13">+SUM(I41:I48)</f>
        <v>3890400</v>
      </c>
      <c r="J49" s="100">
        <f t="shared" si="13"/>
        <v>3052232.88</v>
      </c>
      <c r="K49" s="64"/>
      <c r="L49" s="106">
        <f>+SUM(L41:L48)</f>
        <v>0</v>
      </c>
      <c r="M49" s="106">
        <f t="shared" ref="M49" si="14">+SUM(M41:M48)</f>
        <v>1320.46</v>
      </c>
      <c r="N49" s="64"/>
      <c r="O49" s="112">
        <f>SUM(O41:O48)</f>
        <v>11240130</v>
      </c>
      <c r="P49" s="112">
        <f>SUM(P41:P48)</f>
        <v>9605134.0300000012</v>
      </c>
      <c r="Q49" s="64"/>
    </row>
    <row r="50" spans="1:17" outlineLevel="1">
      <c r="C50" s="94"/>
      <c r="D50" s="94"/>
      <c r="E50" s="64"/>
      <c r="F50" s="120"/>
      <c r="G50" s="120"/>
      <c r="H50" s="64"/>
      <c r="I50" s="100"/>
      <c r="J50" s="100"/>
      <c r="K50" s="64"/>
      <c r="L50" s="106"/>
      <c r="M50" s="106"/>
      <c r="N50" s="64"/>
      <c r="O50" s="112"/>
      <c r="P50" s="112"/>
      <c r="Q50" s="64"/>
    </row>
    <row r="51" spans="1:17" outlineLevel="1">
      <c r="A51" s="31" t="s">
        <v>300</v>
      </c>
      <c r="C51" s="94"/>
      <c r="D51" s="94"/>
      <c r="E51" s="64"/>
      <c r="F51" s="120"/>
      <c r="G51" s="120"/>
      <c r="H51" s="64"/>
      <c r="I51" s="100"/>
      <c r="J51" s="100"/>
      <c r="K51" s="64"/>
      <c r="L51" s="106"/>
      <c r="M51" s="106"/>
      <c r="N51" s="64"/>
      <c r="O51" s="112"/>
      <c r="P51" s="112"/>
      <c r="Q51" s="64"/>
    </row>
    <row r="52" spans="1:17" outlineLevel="1">
      <c r="A52" s="31" t="s">
        <v>301</v>
      </c>
      <c r="C52" s="94"/>
      <c r="D52" s="94"/>
      <c r="E52" s="64"/>
      <c r="F52" s="120"/>
      <c r="G52" s="120"/>
      <c r="H52" s="64"/>
      <c r="I52" s="100"/>
      <c r="J52" s="100"/>
      <c r="K52" s="64"/>
      <c r="L52" s="106"/>
      <c r="M52" s="106"/>
      <c r="N52" s="64"/>
      <c r="O52" s="112"/>
      <c r="P52" s="112"/>
      <c r="Q52" s="64"/>
    </row>
    <row r="53" spans="1:17" outlineLevel="1">
      <c r="A53" s="31" t="s">
        <v>229</v>
      </c>
      <c r="B53" s="31" t="s">
        <v>389</v>
      </c>
      <c r="C53" s="95">
        <f>SUM(CAMP!BQ53)</f>
        <v>163200</v>
      </c>
      <c r="D53" s="95">
        <v>269268.55</v>
      </c>
      <c r="E53" s="64"/>
      <c r="F53" s="121">
        <f>SUM(OLIVIER!AM53)</f>
        <v>118250</v>
      </c>
      <c r="G53" s="121">
        <v>0</v>
      </c>
      <c r="H53" s="64"/>
      <c r="I53" s="101">
        <f>SUM(BUNCHE!BB53)</f>
        <v>163200</v>
      </c>
      <c r="J53" s="101">
        <v>0</v>
      </c>
      <c r="K53" s="64"/>
      <c r="L53" s="107">
        <f>SUM(CMO!T53)</f>
        <v>0</v>
      </c>
      <c r="M53" s="107"/>
      <c r="N53" s="64"/>
      <c r="O53" s="113">
        <f t="shared" ref="O53:O65" si="15">SUM(C53+F53+I53+L53)</f>
        <v>444650</v>
      </c>
      <c r="P53" s="113">
        <f t="shared" ref="P53:P65" si="16">SUM(D53+G53+J53+M53)</f>
        <v>269268.55</v>
      </c>
      <c r="Q53" s="64"/>
    </row>
    <row r="54" spans="1:17" outlineLevel="1">
      <c r="A54" s="31" t="s">
        <v>230</v>
      </c>
      <c r="B54" s="31" t="s">
        <v>390</v>
      </c>
      <c r="C54" s="95">
        <f>SUM(CAMP!BQ54)</f>
        <v>0</v>
      </c>
      <c r="D54" s="95">
        <v>0</v>
      </c>
      <c r="E54" s="64"/>
      <c r="F54" s="121">
        <f>SUM(OLIVIER!AM54)</f>
        <v>0</v>
      </c>
      <c r="G54" s="121"/>
      <c r="H54" s="64"/>
      <c r="I54" s="101">
        <f>SUM(BUNCHE!BB54)</f>
        <v>0</v>
      </c>
      <c r="J54" s="101"/>
      <c r="K54" s="64"/>
      <c r="L54" s="107">
        <f>SUM(CMO!T54)</f>
        <v>0</v>
      </c>
      <c r="M54" s="107"/>
      <c r="N54" s="64"/>
      <c r="O54" s="113">
        <f t="shared" si="15"/>
        <v>0</v>
      </c>
      <c r="P54" s="113">
        <f t="shared" si="16"/>
        <v>0</v>
      </c>
      <c r="Q54" s="64"/>
    </row>
    <row r="55" spans="1:17" outlineLevel="1">
      <c r="A55" s="31" t="s">
        <v>231</v>
      </c>
      <c r="B55" s="31" t="s">
        <v>391</v>
      </c>
      <c r="C55" s="95">
        <f>SUM(CAMP!BQ55)</f>
        <v>6400</v>
      </c>
      <c r="D55" s="95">
        <v>0</v>
      </c>
      <c r="E55" s="64"/>
      <c r="F55" s="121">
        <f>SUM(OLIVIER!AM55)</f>
        <v>2150</v>
      </c>
      <c r="G55" s="121"/>
      <c r="H55" s="64"/>
      <c r="I55" s="101">
        <f>SUM(BUNCHE!BB55)</f>
        <v>6400</v>
      </c>
      <c r="J55" s="101"/>
      <c r="K55" s="64"/>
      <c r="L55" s="107">
        <f>SUM(CMO!T55)</f>
        <v>0</v>
      </c>
      <c r="M55" s="107"/>
      <c r="N55" s="64"/>
      <c r="O55" s="113">
        <f t="shared" si="15"/>
        <v>14950</v>
      </c>
      <c r="P55" s="113">
        <f t="shared" si="16"/>
        <v>0</v>
      </c>
      <c r="Q55" s="64"/>
    </row>
    <row r="56" spans="1:17" outlineLevel="1">
      <c r="A56" s="31" t="s">
        <v>232</v>
      </c>
      <c r="B56" s="31" t="s">
        <v>302</v>
      </c>
      <c r="C56" s="95">
        <f>SUM(CAMP!BQ56)</f>
        <v>74373.517241379319</v>
      </c>
      <c r="D56" s="95">
        <v>67401.06</v>
      </c>
      <c r="E56" s="64"/>
      <c r="F56" s="121">
        <f>SUM(OLIVIER!AM56)</f>
        <v>24984.853448275862</v>
      </c>
      <c r="G56" s="121">
        <v>17040.240000000002</v>
      </c>
      <c r="H56" s="64"/>
      <c r="I56" s="101">
        <f>SUM(BUNCHE!BB56)</f>
        <v>74373.517241379319</v>
      </c>
      <c r="J56" s="101"/>
      <c r="K56" s="64"/>
      <c r="L56" s="107">
        <f>SUM(CMO!T56)</f>
        <v>0</v>
      </c>
      <c r="M56" s="107"/>
      <c r="N56" s="64"/>
      <c r="O56" s="113">
        <f t="shared" si="15"/>
        <v>173731.88793103449</v>
      </c>
      <c r="P56" s="113">
        <f t="shared" si="16"/>
        <v>84441.3</v>
      </c>
      <c r="Q56" s="64"/>
    </row>
    <row r="57" spans="1:17" outlineLevel="1">
      <c r="A57" s="31" t="s">
        <v>233</v>
      </c>
      <c r="B57" s="31" t="s">
        <v>303</v>
      </c>
      <c r="C57" s="95">
        <f>SUM(CAMP!BQ57)</f>
        <v>207872</v>
      </c>
      <c r="D57" s="95">
        <v>172668.68</v>
      </c>
      <c r="E57" s="64"/>
      <c r="F57" s="121">
        <f>SUM(OLIVIER!AM57)</f>
        <v>69832</v>
      </c>
      <c r="G57" s="121">
        <v>50471.08</v>
      </c>
      <c r="H57" s="64"/>
      <c r="I57" s="101">
        <f>SUM(BUNCHE!BB57)</f>
        <v>129920</v>
      </c>
      <c r="J57" s="101">
        <v>72743.95</v>
      </c>
      <c r="K57" s="64"/>
      <c r="L57" s="107">
        <f>SUM(CMO!T57)</f>
        <v>0</v>
      </c>
      <c r="M57" s="107"/>
      <c r="N57" s="64"/>
      <c r="O57" s="113">
        <f t="shared" si="15"/>
        <v>407624</v>
      </c>
      <c r="P57" s="113">
        <f t="shared" si="16"/>
        <v>295883.71000000002</v>
      </c>
      <c r="Q57" s="64"/>
    </row>
    <row r="58" spans="1:17" outlineLevel="1">
      <c r="A58" s="31" t="s">
        <v>0</v>
      </c>
      <c r="B58" s="31" t="s">
        <v>304</v>
      </c>
      <c r="C58" s="95">
        <f>SUM(CAMP!BQ58)</f>
        <v>17862</v>
      </c>
      <c r="D58" s="95">
        <v>23346.5</v>
      </c>
      <c r="E58" s="64"/>
      <c r="F58" s="121">
        <f>SUM(OLIVIER!AM58)</f>
        <v>14016</v>
      </c>
      <c r="G58" s="121">
        <v>1196.0999999999999</v>
      </c>
      <c r="H58" s="64"/>
      <c r="I58" s="101">
        <f>SUM(BUNCHE!BB58)</f>
        <v>16637</v>
      </c>
      <c r="J58" s="101">
        <v>4931.1000000000004</v>
      </c>
      <c r="K58" s="64"/>
      <c r="L58" s="107">
        <f>SUM(CMO!T58)</f>
        <v>11513</v>
      </c>
      <c r="M58" s="107">
        <v>20106</v>
      </c>
      <c r="N58" s="64"/>
      <c r="O58" s="113">
        <f t="shared" si="15"/>
        <v>60028</v>
      </c>
      <c r="P58" s="113">
        <f t="shared" si="16"/>
        <v>49579.7</v>
      </c>
      <c r="Q58" s="64"/>
    </row>
    <row r="59" spans="1:17" outlineLevel="1">
      <c r="A59" s="31" t="s">
        <v>1</v>
      </c>
      <c r="B59" s="31" t="s">
        <v>305</v>
      </c>
      <c r="C59" s="95">
        <f>SUM(CAMP!BQ59)</f>
        <v>0</v>
      </c>
      <c r="D59" s="95">
        <v>312143.27</v>
      </c>
      <c r="E59" s="64"/>
      <c r="F59" s="121">
        <f>SUM(OLIVIER!AM59)</f>
        <v>0</v>
      </c>
      <c r="G59" s="121"/>
      <c r="H59" s="64"/>
      <c r="I59" s="101">
        <f>SUM(BUNCHE!BB59)</f>
        <v>0</v>
      </c>
      <c r="J59" s="101"/>
      <c r="K59" s="64"/>
      <c r="L59" s="107">
        <f>SUM(CMO!T59)</f>
        <v>0</v>
      </c>
      <c r="M59" s="107"/>
      <c r="N59" s="64"/>
      <c r="O59" s="113">
        <f t="shared" si="15"/>
        <v>0</v>
      </c>
      <c r="P59" s="113">
        <f t="shared" si="16"/>
        <v>312143.27</v>
      </c>
      <c r="Q59" s="64"/>
    </row>
    <row r="60" spans="1:17" outlineLevel="1">
      <c r="A60" s="31" t="s">
        <v>3</v>
      </c>
      <c r="B60" s="31" t="s">
        <v>2</v>
      </c>
      <c r="C60" s="95">
        <f>SUM(CAMP!BQ60)</f>
        <v>0</v>
      </c>
      <c r="D60" s="95">
        <v>0</v>
      </c>
      <c r="E60" s="64"/>
      <c r="F60" s="121">
        <f>SUM(OLIVIER!AM60)</f>
        <v>0</v>
      </c>
      <c r="G60" s="121"/>
      <c r="H60" s="64"/>
      <c r="I60" s="101">
        <f>SUM(BUNCHE!BB60)</f>
        <v>0</v>
      </c>
      <c r="J60" s="101"/>
      <c r="K60" s="64"/>
      <c r="L60" s="107">
        <f>SUM(CMO!T60)</f>
        <v>0</v>
      </c>
      <c r="M60" s="107"/>
      <c r="N60" s="64"/>
      <c r="O60" s="113">
        <f t="shared" si="15"/>
        <v>0</v>
      </c>
      <c r="P60" s="113">
        <f t="shared" si="16"/>
        <v>0</v>
      </c>
      <c r="Q60" s="64"/>
    </row>
    <row r="61" spans="1:17" outlineLevel="1">
      <c r="A61" s="31" t="s">
        <v>4</v>
      </c>
      <c r="B61" s="31" t="s">
        <v>5</v>
      </c>
      <c r="C61" s="95">
        <f>SUM(CAMP!BQ61)</f>
        <v>93567.251461988315</v>
      </c>
      <c r="D61" s="95">
        <v>0</v>
      </c>
      <c r="E61" s="64"/>
      <c r="F61" s="121">
        <f>SUM(OLIVIER!AM61)</f>
        <v>31432.748538011696</v>
      </c>
      <c r="G61" s="121"/>
      <c r="H61" s="64"/>
      <c r="I61" s="101">
        <f>SUM(BUNCHE!BB61)</f>
        <v>93567.251461988315</v>
      </c>
      <c r="J61" s="101"/>
      <c r="K61" s="64"/>
      <c r="L61" s="107">
        <f>SUM(CMO!T61)</f>
        <v>0</v>
      </c>
      <c r="M61" s="107"/>
      <c r="N61" s="64"/>
      <c r="O61" s="113">
        <f t="shared" si="15"/>
        <v>218567.25146198831</v>
      </c>
      <c r="P61" s="113">
        <f t="shared" si="16"/>
        <v>0</v>
      </c>
      <c r="Q61" s="64"/>
    </row>
    <row r="62" spans="1:17" outlineLevel="1">
      <c r="A62" s="31" t="s">
        <v>6</v>
      </c>
      <c r="B62" s="31" t="s">
        <v>7</v>
      </c>
      <c r="C62" s="95">
        <f>SUM(CAMP!BQ62)</f>
        <v>0</v>
      </c>
      <c r="D62" s="95"/>
      <c r="E62" s="64"/>
      <c r="F62" s="121">
        <f>SUM(OLIVIER!AM62)</f>
        <v>0</v>
      </c>
      <c r="G62" s="121">
        <v>314147.58</v>
      </c>
      <c r="H62" s="64"/>
      <c r="I62" s="101">
        <f>SUM(BUNCHE!BB62)</f>
        <v>0</v>
      </c>
      <c r="J62" s="101"/>
      <c r="K62" s="64"/>
      <c r="L62" s="107">
        <f>SUM(CMO!T62)</f>
        <v>0</v>
      </c>
      <c r="M62" s="107"/>
      <c r="N62" s="64"/>
      <c r="O62" s="113">
        <f t="shared" si="15"/>
        <v>0</v>
      </c>
      <c r="P62" s="113">
        <f t="shared" si="16"/>
        <v>314147.58</v>
      </c>
      <c r="Q62" s="64"/>
    </row>
    <row r="63" spans="1:17" outlineLevel="1">
      <c r="A63" s="31" t="s">
        <v>8</v>
      </c>
      <c r="B63" s="31" t="s">
        <v>9</v>
      </c>
      <c r="C63" s="95">
        <f>SUM(CAMP!BQ63)</f>
        <v>0</v>
      </c>
      <c r="D63" s="95"/>
      <c r="E63" s="64"/>
      <c r="F63" s="121">
        <f>SUM(OLIVIER!AM63)</f>
        <v>0</v>
      </c>
      <c r="G63" s="121"/>
      <c r="H63" s="64"/>
      <c r="I63" s="101">
        <f>SUM(BUNCHE!BB63)</f>
        <v>0</v>
      </c>
      <c r="J63" s="101"/>
      <c r="K63" s="64"/>
      <c r="L63" s="107">
        <f>SUM(CMO!T63)</f>
        <v>16000</v>
      </c>
      <c r="M63" s="107"/>
      <c r="N63" s="64"/>
      <c r="O63" s="113">
        <f t="shared" si="15"/>
        <v>16000</v>
      </c>
      <c r="P63" s="113">
        <f t="shared" si="16"/>
        <v>0</v>
      </c>
      <c r="Q63" s="64"/>
    </row>
    <row r="64" spans="1:17" outlineLevel="1">
      <c r="A64" s="31" t="s">
        <v>11</v>
      </c>
      <c r="B64" s="31" t="s">
        <v>307</v>
      </c>
      <c r="C64" s="95">
        <f>SUM(CAMP!BQ64)</f>
        <v>0</v>
      </c>
      <c r="D64" s="95"/>
      <c r="E64" s="64"/>
      <c r="F64" s="121">
        <f>SUM(OLIVIER!AM64)</f>
        <v>0</v>
      </c>
      <c r="G64" s="121"/>
      <c r="H64" s="64"/>
      <c r="I64" s="101">
        <f>SUM(BUNCHE!BB64)</f>
        <v>0</v>
      </c>
      <c r="J64" s="101"/>
      <c r="K64" s="64"/>
      <c r="L64" s="107">
        <f>SUM(CMO!T64)</f>
        <v>0</v>
      </c>
      <c r="M64" s="107"/>
      <c r="N64" s="64"/>
      <c r="O64" s="113">
        <f t="shared" si="15"/>
        <v>0</v>
      </c>
      <c r="P64" s="113">
        <f t="shared" si="16"/>
        <v>0</v>
      </c>
      <c r="Q64" s="64"/>
    </row>
    <row r="65" spans="1:17" outlineLevel="1">
      <c r="A65" s="31" t="s">
        <v>10</v>
      </c>
      <c r="B65" s="31" t="s">
        <v>306</v>
      </c>
      <c r="C65" s="96">
        <f>SUM(CAMP!BQ65)</f>
        <v>0</v>
      </c>
      <c r="D65" s="96"/>
      <c r="E65" s="64"/>
      <c r="F65" s="122">
        <f>SUM(OLIVIER!AM65)</f>
        <v>0</v>
      </c>
      <c r="G65" s="122"/>
      <c r="H65" s="64"/>
      <c r="I65" s="102">
        <f>SUM(BUNCHE!BB65)</f>
        <v>0</v>
      </c>
      <c r="J65" s="102"/>
      <c r="K65" s="64"/>
      <c r="L65" s="108">
        <f>SUM(CMO!T65)</f>
        <v>0</v>
      </c>
      <c r="M65" s="108"/>
      <c r="N65" s="64"/>
      <c r="O65" s="114">
        <f t="shared" si="15"/>
        <v>0</v>
      </c>
      <c r="P65" s="114">
        <f t="shared" si="16"/>
        <v>0</v>
      </c>
      <c r="Q65" s="64"/>
    </row>
    <row r="66" spans="1:17">
      <c r="B66" s="31" t="s">
        <v>308</v>
      </c>
      <c r="C66" s="94">
        <f>+SUM(C53:C65)</f>
        <v>563274.76870336756</v>
      </c>
      <c r="D66" s="94">
        <f>+SUM(D53:D65)</f>
        <v>844828.06</v>
      </c>
      <c r="E66" s="64"/>
      <c r="F66" s="120">
        <f t="shared" ref="F66" si="17">+SUM(F53:F65)</f>
        <v>260665.60198628754</v>
      </c>
      <c r="G66" s="120">
        <f t="shared" ref="G66" si="18">+SUM(G53:G65)</f>
        <v>382855</v>
      </c>
      <c r="H66" s="64"/>
      <c r="I66" s="100">
        <f t="shared" ref="I66:J66" si="19">+SUM(I53:I65)</f>
        <v>484097.76870336762</v>
      </c>
      <c r="J66" s="100">
        <f t="shared" si="19"/>
        <v>77675.05</v>
      </c>
      <c r="K66" s="64"/>
      <c r="L66" s="106">
        <f t="shared" ref="L66:M66" si="20">+SUM(L53:L65)</f>
        <v>27513</v>
      </c>
      <c r="M66" s="106">
        <f t="shared" si="20"/>
        <v>20106</v>
      </c>
      <c r="N66" s="64"/>
      <c r="O66" s="112">
        <f>SUM(O53:O65)</f>
        <v>1335551.1393930227</v>
      </c>
      <c r="P66" s="112">
        <f>SUM(P53:P65)</f>
        <v>1325464.1100000001</v>
      </c>
      <c r="Q66" s="64"/>
    </row>
    <row r="67" spans="1:17">
      <c r="C67" s="94"/>
      <c r="D67" s="94"/>
      <c r="E67" s="64"/>
      <c r="F67" s="120"/>
      <c r="G67" s="120"/>
      <c r="H67" s="64"/>
      <c r="I67" s="100"/>
      <c r="J67" s="100"/>
      <c r="K67" s="64"/>
      <c r="L67" s="106"/>
      <c r="M67" s="106"/>
      <c r="N67" s="64"/>
      <c r="O67" s="112"/>
      <c r="P67" s="112"/>
      <c r="Q67" s="64"/>
    </row>
    <row r="68" spans="1:17" s="30" customFormat="1">
      <c r="A68" s="35"/>
      <c r="B68" s="35" t="s">
        <v>309</v>
      </c>
      <c r="C68" s="94">
        <f>+C66+C49+C38</f>
        <v>6621814.7687033676</v>
      </c>
      <c r="D68" s="94">
        <f>+D66+D49+D38</f>
        <v>6546195.2000000002</v>
      </c>
      <c r="E68" s="60"/>
      <c r="F68" s="120">
        <f t="shared" ref="F68:G68" si="21">+F66+F49+F38</f>
        <v>2308980.6019862876</v>
      </c>
      <c r="G68" s="120">
        <f t="shared" si="21"/>
        <v>1730552.95</v>
      </c>
      <c r="H68" s="60"/>
      <c r="I68" s="100">
        <f>+I66+I49+I38</f>
        <v>4884047.7687033676</v>
      </c>
      <c r="J68" s="100">
        <f>+J66+J49+J38</f>
        <v>3265609.38</v>
      </c>
      <c r="K68" s="60"/>
      <c r="L68" s="106">
        <f t="shared" ref="L68:M68" si="22">+L66+L49+L38</f>
        <v>2200413.75</v>
      </c>
      <c r="M68" s="106">
        <f t="shared" si="22"/>
        <v>1627350.33</v>
      </c>
      <c r="N68" s="60"/>
      <c r="O68" s="112">
        <f>SUM(O38+O49+O66)</f>
        <v>16015256.889393022</v>
      </c>
      <c r="P68" s="112">
        <f>SUM(P38+P49+P66)</f>
        <v>13169707.859999999</v>
      </c>
      <c r="Q68" s="60"/>
    </row>
    <row r="69" spans="1:17">
      <c r="C69" s="94"/>
      <c r="D69" s="94"/>
      <c r="E69" s="64"/>
      <c r="F69" s="120"/>
      <c r="G69" s="120"/>
      <c r="H69" s="64"/>
      <c r="I69" s="100"/>
      <c r="J69" s="100"/>
      <c r="K69" s="64"/>
      <c r="L69" s="106"/>
      <c r="M69" s="106"/>
      <c r="N69" s="64"/>
      <c r="O69" s="112"/>
      <c r="P69" s="112"/>
      <c r="Q69" s="64"/>
    </row>
    <row r="70" spans="1:17">
      <c r="A70" s="31" t="s">
        <v>310</v>
      </c>
      <c r="C70" s="94"/>
      <c r="D70" s="94"/>
      <c r="E70" s="64"/>
      <c r="F70" s="120"/>
      <c r="G70" s="120"/>
      <c r="H70" s="64"/>
      <c r="I70" s="100"/>
      <c r="J70" s="100"/>
      <c r="K70" s="64"/>
      <c r="L70" s="106"/>
      <c r="M70" s="106"/>
      <c r="N70" s="64"/>
      <c r="O70" s="112"/>
      <c r="P70" s="112"/>
      <c r="Q70" s="64"/>
    </row>
    <row r="71" spans="1:17" outlineLevel="1">
      <c r="A71" s="31" t="s">
        <v>311</v>
      </c>
      <c r="C71" s="94"/>
      <c r="D71" s="94"/>
      <c r="E71" s="64"/>
      <c r="F71" s="120"/>
      <c r="G71" s="120"/>
      <c r="H71" s="64"/>
      <c r="I71" s="100"/>
      <c r="J71" s="100"/>
      <c r="K71" s="64"/>
      <c r="L71" s="106"/>
      <c r="M71" s="106"/>
      <c r="N71" s="64"/>
      <c r="O71" s="112"/>
      <c r="P71" s="112"/>
      <c r="Q71" s="64"/>
    </row>
    <row r="72" spans="1:17" outlineLevel="1">
      <c r="A72" s="31" t="s">
        <v>19</v>
      </c>
      <c r="B72" s="31" t="s">
        <v>320</v>
      </c>
      <c r="C72" s="95">
        <f>SUM(CAMP!BQ72)</f>
        <v>203904.54305489338</v>
      </c>
      <c r="D72" s="95">
        <v>227675.3</v>
      </c>
      <c r="E72" s="64"/>
      <c r="F72" s="121">
        <f>SUM(OLIVIER!AM72)</f>
        <v>71298.81</v>
      </c>
      <c r="G72" s="121">
        <v>115377.72</v>
      </c>
      <c r="H72" s="64"/>
      <c r="I72" s="101">
        <f>SUM(BUNCHE!BB72)</f>
        <v>125828.87005001609</v>
      </c>
      <c r="J72" s="101">
        <v>152166.63</v>
      </c>
      <c r="K72" s="64"/>
      <c r="L72" s="107">
        <f>SUM(CMO!T72)</f>
        <v>622345.24379467906</v>
      </c>
      <c r="M72" s="107">
        <v>2540.25</v>
      </c>
      <c r="N72" s="64"/>
      <c r="O72" s="113">
        <f t="shared" ref="O72:O79" si="23">SUM(C72+F72+I72+L72)</f>
        <v>1023377.4668995885</v>
      </c>
      <c r="P72" s="113">
        <f t="shared" ref="P72:P79" si="24">SUM(D72+G72+J72+M72)</f>
        <v>497759.9</v>
      </c>
      <c r="Q72" s="64"/>
    </row>
    <row r="73" spans="1:17" outlineLevel="1">
      <c r="A73" s="31" t="s">
        <v>12</v>
      </c>
      <c r="B73" s="31" t="s">
        <v>312</v>
      </c>
      <c r="C73" s="95">
        <f>SUM(CAMP!BQ73)</f>
        <v>2333401.9990526335</v>
      </c>
      <c r="D73" s="95">
        <v>2304245.42</v>
      </c>
      <c r="E73" s="64"/>
      <c r="F73" s="121">
        <f>SUM(OLIVIER!AM73)</f>
        <v>563800.50362968748</v>
      </c>
      <c r="G73" s="121">
        <v>292204.78999999998</v>
      </c>
      <c r="H73" s="64"/>
      <c r="I73" s="101">
        <f>SUM(BUNCHE!BB73)</f>
        <v>1243862.0689321854</v>
      </c>
      <c r="J73" s="101">
        <v>782351.19</v>
      </c>
      <c r="K73" s="64"/>
      <c r="L73" s="107">
        <f>SUM(CMO!T73)</f>
        <v>0</v>
      </c>
      <c r="M73" s="107">
        <v>7023.26</v>
      </c>
      <c r="N73" s="64"/>
      <c r="O73" s="113">
        <f t="shared" si="23"/>
        <v>4141064.5716145062</v>
      </c>
      <c r="P73" s="113">
        <f t="shared" si="24"/>
        <v>3385824.6599999997</v>
      </c>
      <c r="Q73" s="64"/>
    </row>
    <row r="74" spans="1:17" outlineLevel="1">
      <c r="A74" s="31" t="s">
        <v>13</v>
      </c>
      <c r="B74" s="31" t="s">
        <v>313</v>
      </c>
      <c r="C74" s="95">
        <f>SUM(CAMP!BQ74)</f>
        <v>456515.94149692554</v>
      </c>
      <c r="D74" s="95">
        <v>391381.35</v>
      </c>
      <c r="E74" s="64"/>
      <c r="F74" s="121">
        <f>SUM(OLIVIER!AM74)</f>
        <v>202041.94799999997</v>
      </c>
      <c r="G74" s="121">
        <v>137172.24</v>
      </c>
      <c r="H74" s="64"/>
      <c r="I74" s="101">
        <f>SUM(BUNCHE!BB74)</f>
        <v>266054.90109659999</v>
      </c>
      <c r="J74" s="101">
        <v>155783.49</v>
      </c>
      <c r="K74" s="64"/>
      <c r="L74" s="107">
        <f>SUM(CMO!T74)</f>
        <v>0</v>
      </c>
      <c r="M74" s="107">
        <v>9204.6200000000008</v>
      </c>
      <c r="N74" s="64"/>
      <c r="O74" s="113">
        <f t="shared" si="23"/>
        <v>924612.79059352551</v>
      </c>
      <c r="P74" s="113">
        <f t="shared" si="24"/>
        <v>693541.7</v>
      </c>
      <c r="Q74" s="64"/>
    </row>
    <row r="75" spans="1:17" outlineLevel="1">
      <c r="A75" s="31" t="s">
        <v>14</v>
      </c>
      <c r="B75" s="31" t="s">
        <v>314</v>
      </c>
      <c r="C75" s="95">
        <f>SUM(CAMP!BQ75)</f>
        <v>77314.520439500004</v>
      </c>
      <c r="D75" s="95">
        <v>87983.31</v>
      </c>
      <c r="E75" s="64"/>
      <c r="F75" s="121">
        <f>SUM(OLIVIER!AM75)</f>
        <v>36349.019798802023</v>
      </c>
      <c r="G75" s="121">
        <v>41782.17</v>
      </c>
      <c r="H75" s="64"/>
      <c r="I75" s="101">
        <f>SUM(BUNCHE!BB75)</f>
        <v>77314.520439500004</v>
      </c>
      <c r="J75" s="101">
        <v>45289.43</v>
      </c>
      <c r="K75" s="64"/>
      <c r="L75" s="107">
        <f>SUM(CMO!T75)</f>
        <v>0</v>
      </c>
      <c r="M75" s="107">
        <v>0</v>
      </c>
      <c r="N75" s="64"/>
      <c r="O75" s="113">
        <f t="shared" si="23"/>
        <v>190978.06067780202</v>
      </c>
      <c r="P75" s="113">
        <f t="shared" si="24"/>
        <v>175054.91</v>
      </c>
      <c r="Q75" s="64"/>
    </row>
    <row r="76" spans="1:17" outlineLevel="1">
      <c r="A76" s="31" t="s">
        <v>15</v>
      </c>
      <c r="B76" s="31" t="s">
        <v>315</v>
      </c>
      <c r="C76" s="95">
        <f>SUM(CAMP!BQ76)</f>
        <v>52453</v>
      </c>
      <c r="D76" s="95">
        <v>45535.25</v>
      </c>
      <c r="E76" s="64"/>
      <c r="F76" s="121">
        <f>SUM(OLIVIER!AM76)</f>
        <v>0</v>
      </c>
      <c r="G76" s="121">
        <v>26982.14</v>
      </c>
      <c r="H76" s="64"/>
      <c r="I76" s="101">
        <f>SUM(BUNCHE!BB76)</f>
        <v>52453</v>
      </c>
      <c r="J76" s="101">
        <v>26981.84</v>
      </c>
      <c r="K76" s="64"/>
      <c r="L76" s="107">
        <f>SUM(CMO!T76)</f>
        <v>142061.89067516598</v>
      </c>
      <c r="M76" s="107">
        <v>62829.59</v>
      </c>
      <c r="N76" s="64"/>
      <c r="O76" s="113">
        <f t="shared" si="23"/>
        <v>246967.89067516598</v>
      </c>
      <c r="P76" s="113">
        <f t="shared" si="24"/>
        <v>162328.82</v>
      </c>
      <c r="Q76" s="64"/>
    </row>
    <row r="77" spans="1:17" outlineLevel="1">
      <c r="A77" s="31" t="s">
        <v>16</v>
      </c>
      <c r="B77" s="31" t="s">
        <v>316</v>
      </c>
      <c r="C77" s="95">
        <f>SUM(CAMP!BQ77)</f>
        <v>80512.165197104012</v>
      </c>
      <c r="D77" s="95">
        <v>80964.92</v>
      </c>
      <c r="E77" s="64"/>
      <c r="F77" s="121">
        <f>SUM(OLIVIER!AM77)</f>
        <v>35936.323983661838</v>
      </c>
      <c r="G77" s="121">
        <v>29895</v>
      </c>
      <c r="H77" s="64"/>
      <c r="I77" s="101">
        <f>SUM(BUNCHE!BB77)</f>
        <v>54089.986499999999</v>
      </c>
      <c r="J77" s="101">
        <v>36344.46</v>
      </c>
      <c r="K77" s="64"/>
      <c r="L77" s="107">
        <f>SUM(CMO!T77)</f>
        <v>294577.64043864451</v>
      </c>
      <c r="M77" s="107">
        <v>183019.56</v>
      </c>
      <c r="N77" s="64"/>
      <c r="O77" s="113">
        <f t="shared" si="23"/>
        <v>465116.11611941038</v>
      </c>
      <c r="P77" s="113">
        <f t="shared" si="24"/>
        <v>330223.94</v>
      </c>
      <c r="Q77" s="64"/>
    </row>
    <row r="78" spans="1:17" outlineLevel="1">
      <c r="A78" s="31" t="s">
        <v>17</v>
      </c>
      <c r="B78" s="31" t="s">
        <v>317</v>
      </c>
      <c r="C78" s="95">
        <f>SUM(CAMP!BQ78)</f>
        <v>176020.35013025001</v>
      </c>
      <c r="D78" s="95">
        <v>156160.79</v>
      </c>
      <c r="E78" s="64"/>
      <c r="F78" s="121">
        <f>SUM(OLIVIER!AM78)</f>
        <v>52176.052110000004</v>
      </c>
      <c r="G78" s="121">
        <v>54767.96</v>
      </c>
      <c r="H78" s="64"/>
      <c r="I78" s="101">
        <f>SUM(BUNCHE!BB78)</f>
        <v>141434.14094779591</v>
      </c>
      <c r="J78" s="101">
        <v>51608.9</v>
      </c>
      <c r="K78" s="64"/>
      <c r="L78" s="107">
        <f>SUM(CMO!T78)</f>
        <v>0</v>
      </c>
      <c r="M78" s="107">
        <v>258.62</v>
      </c>
      <c r="N78" s="64"/>
      <c r="O78" s="113">
        <f t="shared" si="23"/>
        <v>369630.54318804597</v>
      </c>
      <c r="P78" s="113">
        <f t="shared" si="24"/>
        <v>262796.27</v>
      </c>
      <c r="Q78" s="64"/>
    </row>
    <row r="79" spans="1:17" ht="14.25" customHeight="1" outlineLevel="1">
      <c r="A79" s="31" t="s">
        <v>18</v>
      </c>
      <c r="B79" s="31" t="s">
        <v>319</v>
      </c>
      <c r="C79" s="96">
        <f>SUM(CAMP!BQ79)</f>
        <v>60237</v>
      </c>
      <c r="D79" s="96">
        <v>98150.34</v>
      </c>
      <c r="E79" s="64"/>
      <c r="F79" s="122">
        <f>SUM(OLIVIER!AM79)</f>
        <v>27062</v>
      </c>
      <c r="G79" s="122">
        <v>27813.02</v>
      </c>
      <c r="H79" s="64"/>
      <c r="I79" s="102">
        <f>SUM(BUNCHE!BB79)</f>
        <v>45566</v>
      </c>
      <c r="J79" s="102">
        <v>17853.509999999998</v>
      </c>
      <c r="K79" s="64"/>
      <c r="L79" s="108">
        <f>SUM(CMO!T79)</f>
        <v>0</v>
      </c>
      <c r="M79" s="108">
        <v>566341.80000000005</v>
      </c>
      <c r="N79" s="64"/>
      <c r="O79" s="114">
        <f t="shared" si="23"/>
        <v>132865</v>
      </c>
      <c r="P79" s="114">
        <f t="shared" si="24"/>
        <v>710158.67</v>
      </c>
      <c r="Q79" s="64"/>
    </row>
    <row r="80" spans="1:17">
      <c r="B80" s="31" t="s">
        <v>24</v>
      </c>
      <c r="C80" s="94">
        <f t="shared" ref="C80" si="25">+SUM(C72:C79)</f>
        <v>3440359.519371307</v>
      </c>
      <c r="D80" s="94">
        <f t="shared" ref="D80" si="26">+SUM(D72:D79)</f>
        <v>3392096.6799999997</v>
      </c>
      <c r="E80" s="64"/>
      <c r="F80" s="120">
        <f t="shared" ref="F80" si="27">+SUM(F72:F79)</f>
        <v>988664.65752215136</v>
      </c>
      <c r="G80" s="120">
        <f t="shared" ref="G80" si="28">+SUM(G72:G79)</f>
        <v>725995.04</v>
      </c>
      <c r="H80" s="64"/>
      <c r="I80" s="100">
        <f t="shared" ref="I80:J80" si="29">+SUM(I72:I79)</f>
        <v>2006603.4879660974</v>
      </c>
      <c r="J80" s="100">
        <f t="shared" si="29"/>
        <v>1268379.45</v>
      </c>
      <c r="K80" s="64"/>
      <c r="L80" s="106">
        <f t="shared" ref="L80:M80" si="30">+SUM(L72:L79)</f>
        <v>1058984.7749084895</v>
      </c>
      <c r="M80" s="106">
        <f t="shared" si="30"/>
        <v>831217.70000000007</v>
      </c>
      <c r="N80" s="64"/>
      <c r="O80" s="112">
        <f>SUM(O72:O79)</f>
        <v>7494612.4397680433</v>
      </c>
      <c r="P80" s="112">
        <f>SUM(P72:P79)</f>
        <v>6217688.870000001</v>
      </c>
      <c r="Q80" s="64"/>
    </row>
    <row r="81" spans="1:17" outlineLevel="1">
      <c r="C81" s="94"/>
      <c r="D81" s="94"/>
      <c r="E81" s="64"/>
      <c r="F81" s="120"/>
      <c r="G81" s="120"/>
      <c r="H81" s="64"/>
      <c r="I81" s="100"/>
      <c r="J81" s="100"/>
      <c r="K81" s="64"/>
      <c r="L81" s="106"/>
      <c r="M81" s="106"/>
      <c r="N81" s="64"/>
      <c r="O81" s="112"/>
      <c r="P81" s="112"/>
      <c r="Q81" s="64"/>
    </row>
    <row r="82" spans="1:17" outlineLevel="1">
      <c r="C82" s="94"/>
      <c r="D82" s="94"/>
      <c r="E82" s="64"/>
      <c r="F82" s="120"/>
      <c r="G82" s="120"/>
      <c r="H82" s="64"/>
      <c r="I82" s="100"/>
      <c r="J82" s="100"/>
      <c r="K82" s="64"/>
      <c r="L82" s="106"/>
      <c r="M82" s="106"/>
      <c r="N82" s="64"/>
      <c r="O82" s="112"/>
      <c r="P82" s="112"/>
      <c r="Q82" s="64"/>
    </row>
    <row r="83" spans="1:17" outlineLevel="1">
      <c r="A83" s="36" t="s">
        <v>322</v>
      </c>
      <c r="C83" s="94"/>
      <c r="D83" s="94"/>
      <c r="E83" s="64"/>
      <c r="F83" s="120"/>
      <c r="G83" s="120"/>
      <c r="H83" s="64"/>
      <c r="I83" s="100"/>
      <c r="J83" s="100"/>
      <c r="K83" s="64"/>
      <c r="L83" s="106"/>
      <c r="M83" s="106"/>
      <c r="N83" s="64"/>
      <c r="O83" s="112"/>
      <c r="P83" s="112"/>
      <c r="Q83" s="64"/>
    </row>
    <row r="84" spans="1:17" outlineLevel="1">
      <c r="A84" s="31" t="s">
        <v>20</v>
      </c>
      <c r="B84" s="31" t="s">
        <v>321</v>
      </c>
      <c r="C84" s="95">
        <f>SUM(CAMP!BQ84)</f>
        <v>30520</v>
      </c>
      <c r="D84" s="95">
        <v>4469.7299999999996</v>
      </c>
      <c r="E84" s="64"/>
      <c r="F84" s="121">
        <f>SUM(OLIVIER!AM84)</f>
        <v>5600</v>
      </c>
      <c r="G84" s="121">
        <v>1528.86</v>
      </c>
      <c r="H84" s="64"/>
      <c r="I84" s="101">
        <f>SUM(BUNCHE!BB84)</f>
        <v>32725</v>
      </c>
      <c r="J84" s="101">
        <v>36579.53</v>
      </c>
      <c r="K84" s="64"/>
      <c r="L84" s="107">
        <f>SUM(CMO!T84)</f>
        <v>0</v>
      </c>
      <c r="M84" s="107"/>
      <c r="N84" s="64"/>
      <c r="O84" s="113">
        <f t="shared" ref="O84:O87" si="31">SUM(C84+F84+I84+L84)</f>
        <v>68845</v>
      </c>
      <c r="P84" s="113">
        <f>SUM(D84+G84+J84+M84)</f>
        <v>42578.119999999995</v>
      </c>
      <c r="Q84" s="64"/>
    </row>
    <row r="85" spans="1:17" outlineLevel="1">
      <c r="A85" s="31" t="s">
        <v>21</v>
      </c>
      <c r="B85" s="31" t="s">
        <v>322</v>
      </c>
      <c r="C85" s="95">
        <f>SUM(CAMP!BQ85)</f>
        <v>13500</v>
      </c>
      <c r="D85" s="95">
        <v>462</v>
      </c>
      <c r="E85" s="64"/>
      <c r="F85" s="121">
        <f>SUM(OLIVIER!AM85)</f>
        <v>4750</v>
      </c>
      <c r="G85" s="121">
        <v>283.5</v>
      </c>
      <c r="H85" s="64"/>
      <c r="I85" s="101">
        <f>SUM(BUNCHE!BB85)</f>
        <v>41000</v>
      </c>
      <c r="J85" s="101">
        <v>178.5</v>
      </c>
      <c r="K85" s="64"/>
      <c r="L85" s="107">
        <f>SUM(CMO!T85)</f>
        <v>0</v>
      </c>
      <c r="M85" s="107"/>
      <c r="N85" s="64"/>
      <c r="O85" s="113">
        <f t="shared" si="31"/>
        <v>59250</v>
      </c>
      <c r="P85" s="113">
        <f>SUM(D85+G85+J85+M85)</f>
        <v>924</v>
      </c>
      <c r="Q85" s="64"/>
    </row>
    <row r="86" spans="1:17" outlineLevel="1">
      <c r="A86" s="31" t="s">
        <v>406</v>
      </c>
      <c r="B86" s="31" t="s">
        <v>407</v>
      </c>
      <c r="C86" s="95">
        <f>SUM(CAMP!BQ86)</f>
        <v>0</v>
      </c>
      <c r="D86" s="95">
        <v>0</v>
      </c>
      <c r="E86" s="64"/>
      <c r="F86" s="121">
        <f>SUM(OLIVIER!AM86)</f>
        <v>0</v>
      </c>
      <c r="G86" s="121"/>
      <c r="H86" s="64"/>
      <c r="I86" s="101">
        <f>SUM(BUNCHE!BB86)</f>
        <v>0</v>
      </c>
      <c r="J86" s="101"/>
      <c r="K86" s="64"/>
      <c r="L86" s="107">
        <f>SUM(CMO!T86)</f>
        <v>34550</v>
      </c>
      <c r="M86" s="107"/>
      <c r="N86" s="64"/>
      <c r="O86" s="113">
        <f t="shared" si="31"/>
        <v>34550</v>
      </c>
      <c r="P86" s="113">
        <f>SUM(D86+G86+J86+M86)</f>
        <v>0</v>
      </c>
      <c r="Q86" s="64"/>
    </row>
    <row r="87" spans="1:17" outlineLevel="1">
      <c r="A87" s="31" t="s">
        <v>22</v>
      </c>
      <c r="B87" s="31" t="s">
        <v>23</v>
      </c>
      <c r="C87" s="96">
        <f>SUM(CAMP!BQ87)</f>
        <v>39000</v>
      </c>
      <c r="D87" s="96">
        <v>15420</v>
      </c>
      <c r="E87" s="64"/>
      <c r="F87" s="122">
        <f>SUM(OLIVIER!AM87)</f>
        <v>33000</v>
      </c>
      <c r="G87" s="122">
        <v>12000</v>
      </c>
      <c r="H87" s="64"/>
      <c r="I87" s="102">
        <f>SUM(BUNCHE!BB87)</f>
        <v>40000</v>
      </c>
      <c r="J87" s="102">
        <v>13351.79</v>
      </c>
      <c r="K87" s="64"/>
      <c r="L87" s="108">
        <f>SUM(CMO!T87)</f>
        <v>0</v>
      </c>
      <c r="M87" s="108">
        <v>-138</v>
      </c>
      <c r="N87" s="64"/>
      <c r="O87" s="114">
        <f t="shared" si="31"/>
        <v>112000</v>
      </c>
      <c r="P87" s="114">
        <f>SUM(D87+G87+J87+M87)</f>
        <v>40633.79</v>
      </c>
      <c r="Q87" s="64"/>
    </row>
    <row r="88" spans="1:17">
      <c r="B88" s="31" t="s">
        <v>323</v>
      </c>
      <c r="C88" s="94">
        <f t="shared" ref="C88" si="32">+SUM(C84:C87)</f>
        <v>83020</v>
      </c>
      <c r="D88" s="94">
        <f t="shared" ref="D88" si="33">+SUM(D84:D87)</f>
        <v>20351.73</v>
      </c>
      <c r="E88" s="64"/>
      <c r="F88" s="120">
        <f t="shared" ref="F88" si="34">+SUM(F84:F87)</f>
        <v>43350</v>
      </c>
      <c r="G88" s="120">
        <f t="shared" ref="G88" si="35">+SUM(G84:G87)</f>
        <v>13812.36</v>
      </c>
      <c r="H88" s="64"/>
      <c r="I88" s="100">
        <f t="shared" ref="I88:J88" si="36">+SUM(I84:I87)</f>
        <v>113725</v>
      </c>
      <c r="J88" s="100">
        <f t="shared" si="36"/>
        <v>50109.82</v>
      </c>
      <c r="K88" s="64"/>
      <c r="L88" s="106">
        <f t="shared" ref="L88:M88" si="37">+SUM(L84:L87)</f>
        <v>34550</v>
      </c>
      <c r="M88" s="106">
        <f t="shared" si="37"/>
        <v>-138</v>
      </c>
      <c r="N88" s="64"/>
      <c r="O88" s="112">
        <f>SUM(O84:O87)</f>
        <v>274645</v>
      </c>
      <c r="P88" s="112">
        <f>SUM(P84:P87)</f>
        <v>84135.91</v>
      </c>
      <c r="Q88" s="64"/>
    </row>
    <row r="89" spans="1:17">
      <c r="C89" s="94"/>
      <c r="D89" s="94"/>
      <c r="E89" s="64"/>
      <c r="F89" s="120"/>
      <c r="G89" s="120"/>
      <c r="H89" s="64"/>
      <c r="I89" s="100"/>
      <c r="J89" s="100"/>
      <c r="K89" s="64"/>
      <c r="L89" s="106"/>
      <c r="M89" s="106"/>
      <c r="N89" s="64"/>
      <c r="O89" s="112"/>
      <c r="P89" s="112"/>
      <c r="Q89" s="64"/>
    </row>
    <row r="90" spans="1:17">
      <c r="B90" s="31" t="s">
        <v>324</v>
      </c>
      <c r="C90" s="94">
        <f>+C80+C88</f>
        <v>3523379.519371307</v>
      </c>
      <c r="D90" s="94">
        <f>+D80+D88</f>
        <v>3412448.4099999997</v>
      </c>
      <c r="E90" s="64"/>
      <c r="F90" s="120">
        <f t="shared" ref="F90" si="38">+F80+F88</f>
        <v>1032014.6575221514</v>
      </c>
      <c r="G90" s="120">
        <f>+G80+G88</f>
        <v>739807.4</v>
      </c>
      <c r="H90" s="64"/>
      <c r="I90" s="100">
        <f>+I80+I88</f>
        <v>2120328.4879660974</v>
      </c>
      <c r="J90" s="100">
        <f>+J80+J88</f>
        <v>1318489.27</v>
      </c>
      <c r="K90" s="64"/>
      <c r="L90" s="106">
        <f t="shared" ref="L90" si="39">+L80+L88</f>
        <v>1093534.7749084895</v>
      </c>
      <c r="M90" s="106">
        <f>+M80+M88</f>
        <v>831079.70000000007</v>
      </c>
      <c r="N90" s="64"/>
      <c r="O90" s="112">
        <f>SUM(O80+O88)</f>
        <v>7769257.4397680433</v>
      </c>
      <c r="P90" s="112">
        <f>SUM(P80+P88)</f>
        <v>6301824.7800000012</v>
      </c>
      <c r="Q90" s="64"/>
    </row>
    <row r="91" spans="1:17">
      <c r="C91" s="94"/>
      <c r="D91" s="94"/>
      <c r="E91" s="64"/>
      <c r="F91" s="120"/>
      <c r="G91" s="120"/>
      <c r="H91" s="64"/>
      <c r="I91" s="100"/>
      <c r="J91" s="100"/>
      <c r="K91" s="64"/>
      <c r="L91" s="106"/>
      <c r="M91" s="106"/>
      <c r="N91" s="64"/>
      <c r="O91" s="112"/>
      <c r="P91" s="112"/>
      <c r="Q91" s="64"/>
    </row>
    <row r="92" spans="1:17" outlineLevel="1">
      <c r="A92" s="31" t="s">
        <v>325</v>
      </c>
      <c r="C92" s="94"/>
      <c r="D92" s="94"/>
      <c r="E92" s="64"/>
      <c r="F92" s="120"/>
      <c r="G92" s="120"/>
      <c r="H92" s="64"/>
      <c r="I92" s="100"/>
      <c r="J92" s="100"/>
      <c r="K92" s="64"/>
      <c r="L92" s="106"/>
      <c r="M92" s="106"/>
      <c r="N92" s="64"/>
      <c r="O92" s="112"/>
      <c r="P92" s="112"/>
      <c r="Q92" s="64"/>
    </row>
    <row r="93" spans="1:17" outlineLevel="1">
      <c r="A93" s="31" t="s">
        <v>25</v>
      </c>
      <c r="B93" s="31" t="s">
        <v>33</v>
      </c>
      <c r="C93" s="95">
        <f>SUM(CAMP!BQ93)</f>
        <v>316175.68079999997</v>
      </c>
      <c r="D93" s="95">
        <v>222846.33</v>
      </c>
      <c r="E93" s="64"/>
      <c r="F93" s="121">
        <f>SUM(OLIVIER!AM93)</f>
        <v>102752.6976</v>
      </c>
      <c r="G93" s="121">
        <v>51601.91</v>
      </c>
      <c r="H93" s="64"/>
      <c r="I93" s="101">
        <f>SUM(BUNCHE!BB93)</f>
        <v>200754.84239999996</v>
      </c>
      <c r="J93" s="101">
        <v>58814.43</v>
      </c>
      <c r="K93" s="64"/>
      <c r="L93" s="107">
        <f>SUM(CMO!T93)</f>
        <v>70378.559999999998</v>
      </c>
      <c r="M93" s="107">
        <v>58312.68</v>
      </c>
      <c r="N93" s="64"/>
      <c r="O93" s="113">
        <f t="shared" ref="O93:O101" si="40">SUM(C93+F93+I93+L93)</f>
        <v>690061.78080000007</v>
      </c>
      <c r="P93" s="113">
        <f t="shared" ref="P93:P101" si="41">SUM(D93+G93+J93+M93)</f>
        <v>391575.35</v>
      </c>
      <c r="Q93" s="64"/>
    </row>
    <row r="94" spans="1:17" outlineLevel="1">
      <c r="A94" s="31" t="s">
        <v>26</v>
      </c>
      <c r="B94" s="31" t="s">
        <v>34</v>
      </c>
      <c r="C94" s="95">
        <f>SUM(CAMP!BQ94)</f>
        <v>19057.952462399997</v>
      </c>
      <c r="D94" s="95">
        <v>12331.61</v>
      </c>
      <c r="E94" s="64"/>
      <c r="F94" s="121">
        <f>SUM(OLIVIER!AM94)</f>
        <v>6198.068188799999</v>
      </c>
      <c r="G94" s="121">
        <v>3094.19</v>
      </c>
      <c r="H94" s="64"/>
      <c r="I94" s="101">
        <f>SUM(BUNCHE!BB94)</f>
        <v>12096.7060752</v>
      </c>
      <c r="J94" s="101">
        <v>3385.49</v>
      </c>
      <c r="K94" s="64"/>
      <c r="L94" s="107">
        <f>SUM(CMO!T94)</f>
        <v>4137.8935679999995</v>
      </c>
      <c r="M94" s="107">
        <v>3900.39</v>
      </c>
      <c r="N94" s="64"/>
      <c r="O94" s="113">
        <f t="shared" si="40"/>
        <v>41490.620294399996</v>
      </c>
      <c r="P94" s="113">
        <f t="shared" si="41"/>
        <v>22711.68</v>
      </c>
      <c r="Q94" s="64"/>
    </row>
    <row r="95" spans="1:17" outlineLevel="1">
      <c r="A95" s="31" t="s">
        <v>28</v>
      </c>
      <c r="B95" s="31" t="s">
        <v>27</v>
      </c>
      <c r="C95" s="95">
        <f>SUM(CAMP!BQ95)</f>
        <v>216557.29020102101</v>
      </c>
      <c r="D95" s="95">
        <v>228874.55</v>
      </c>
      <c r="E95" s="64"/>
      <c r="F95" s="121">
        <f>SUM(OLIVIER!AM95)</f>
        <v>63637.708766373384</v>
      </c>
      <c r="G95" s="121">
        <v>49655.28</v>
      </c>
      <c r="H95" s="64"/>
      <c r="I95" s="101">
        <f>SUM(BUNCHE!BB95)</f>
        <v>128780.41625389803</v>
      </c>
      <c r="J95" s="101">
        <v>84387.15</v>
      </c>
      <c r="K95" s="64"/>
      <c r="L95" s="107">
        <f>SUM(CMO!T95)</f>
        <v>67799.156044326359</v>
      </c>
      <c r="M95" s="107">
        <v>60726.66</v>
      </c>
      <c r="N95" s="64"/>
      <c r="O95" s="113">
        <f t="shared" si="40"/>
        <v>476774.57126561878</v>
      </c>
      <c r="P95" s="113">
        <f t="shared" si="41"/>
        <v>423643.64</v>
      </c>
      <c r="Q95" s="64"/>
    </row>
    <row r="96" spans="1:17" outlineLevel="1">
      <c r="A96" s="31" t="s">
        <v>30</v>
      </c>
      <c r="B96" s="31" t="s">
        <v>29</v>
      </c>
      <c r="C96" s="95">
        <f>SUM(CAMP!BQ96)</f>
        <v>50646.463030883941</v>
      </c>
      <c r="D96" s="95">
        <v>0</v>
      </c>
      <c r="E96" s="64"/>
      <c r="F96" s="121">
        <f>SUM(OLIVIER!AM96)</f>
        <v>14883.012534071197</v>
      </c>
      <c r="G96" s="121">
        <v>0</v>
      </c>
      <c r="H96" s="64"/>
      <c r="I96" s="101">
        <f>SUM(BUNCHE!BB96)</f>
        <v>30118.000575508406</v>
      </c>
      <c r="J96" s="101"/>
      <c r="K96" s="64"/>
      <c r="L96" s="107">
        <f>SUM(CMO!T96)</f>
        <v>15856.254236173099</v>
      </c>
      <c r="M96" s="107"/>
      <c r="N96" s="64"/>
      <c r="O96" s="113">
        <f t="shared" si="40"/>
        <v>111503.73037663665</v>
      </c>
      <c r="P96" s="113">
        <f t="shared" si="41"/>
        <v>0</v>
      </c>
      <c r="Q96" s="64"/>
    </row>
    <row r="97" spans="1:17" outlineLevel="1">
      <c r="A97" s="31" t="s">
        <v>31</v>
      </c>
      <c r="B97" s="31" t="s">
        <v>32</v>
      </c>
      <c r="C97" s="95">
        <f>SUM(CAMP!BQ97)</f>
        <v>206370.26605202587</v>
      </c>
      <c r="D97" s="95">
        <v>111778.44</v>
      </c>
      <c r="E97" s="64"/>
      <c r="F97" s="121">
        <f>SUM(OLIVIER!AM97)</f>
        <v>60399.509077929077</v>
      </c>
      <c r="G97" s="121">
        <v>21191.97</v>
      </c>
      <c r="H97" s="64"/>
      <c r="I97" s="101">
        <f>SUM(BUNCHE!BB97)</f>
        <v>122415.95731873631</v>
      </c>
      <c r="J97" s="101">
        <v>24281.040000000001</v>
      </c>
      <c r="K97" s="64"/>
      <c r="L97" s="107">
        <f>SUM(CMO!T97)</f>
        <v>62917.42209183392</v>
      </c>
      <c r="M97" s="107">
        <v>37029.120000000003</v>
      </c>
      <c r="N97" s="64"/>
      <c r="O97" s="113">
        <f t="shared" si="40"/>
        <v>452103.15454052511</v>
      </c>
      <c r="P97" s="113">
        <f t="shared" si="41"/>
        <v>194280.57</v>
      </c>
      <c r="Q97" s="64"/>
    </row>
    <row r="98" spans="1:17" outlineLevel="1">
      <c r="A98" s="31" t="s">
        <v>36</v>
      </c>
      <c r="B98" s="31" t="s">
        <v>35</v>
      </c>
      <c r="C98" s="95">
        <f>SUM(CAMP!BQ98)</f>
        <v>19560.013308479316</v>
      </c>
      <c r="D98" s="95">
        <v>29026.86</v>
      </c>
      <c r="E98" s="64"/>
      <c r="F98" s="121">
        <f>SUM(OLIVIER!AM98)</f>
        <v>5747.9220821240478</v>
      </c>
      <c r="G98" s="121">
        <v>6564.02</v>
      </c>
      <c r="H98" s="64"/>
      <c r="I98" s="101">
        <f>SUM(BUNCHE!BB98)</f>
        <v>11631.779532610144</v>
      </c>
      <c r="J98" s="101">
        <v>10291.34</v>
      </c>
      <c r="K98" s="64"/>
      <c r="L98" s="107">
        <f>SUM(CMO!T98)</f>
        <v>6123.7947394875409</v>
      </c>
      <c r="M98" s="107">
        <v>4509.45</v>
      </c>
      <c r="N98" s="64"/>
      <c r="O98" s="113">
        <f t="shared" si="40"/>
        <v>43063.50966270105</v>
      </c>
      <c r="P98" s="113">
        <f t="shared" si="41"/>
        <v>50391.67</v>
      </c>
      <c r="Q98" s="64"/>
    </row>
    <row r="99" spans="1:17" outlineLevel="1">
      <c r="A99" s="31" t="s">
        <v>38</v>
      </c>
      <c r="B99" s="31" t="s">
        <v>37</v>
      </c>
      <c r="C99" s="95">
        <f>SUM(CAMP!BQ99)</f>
        <v>14370.394500000004</v>
      </c>
      <c r="D99" s="95">
        <v>22860.99</v>
      </c>
      <c r="E99" s="64"/>
      <c r="F99" s="121">
        <f>SUM(OLIVIER!AM99)</f>
        <v>4828.8240000000005</v>
      </c>
      <c r="G99" s="121">
        <v>7261.7</v>
      </c>
      <c r="H99" s="64"/>
      <c r="I99" s="101">
        <f>SUM(BUNCHE!BB99)</f>
        <v>9139.1684999999998</v>
      </c>
      <c r="J99" s="101">
        <v>14408.57</v>
      </c>
      <c r="K99" s="64"/>
      <c r="L99" s="107">
        <f>SUM(CMO!T99)</f>
        <v>3095.4</v>
      </c>
      <c r="M99" s="107">
        <v>4831.7</v>
      </c>
      <c r="N99" s="64"/>
      <c r="O99" s="113">
        <f t="shared" si="40"/>
        <v>31433.787000000004</v>
      </c>
      <c r="P99" s="113">
        <f t="shared" si="41"/>
        <v>49362.96</v>
      </c>
      <c r="Q99" s="64"/>
    </row>
    <row r="100" spans="1:17" outlineLevel="1">
      <c r="A100" s="31" t="s">
        <v>83</v>
      </c>
      <c r="B100" s="31" t="s">
        <v>84</v>
      </c>
      <c r="C100" s="95">
        <f>SUM(CAMP!BQ100)</f>
        <v>5000</v>
      </c>
      <c r="D100" s="95">
        <v>4747.5</v>
      </c>
      <c r="E100" s="64"/>
      <c r="F100" s="121">
        <f>SUM(OLIVIER!AM100)</f>
        <v>0</v>
      </c>
      <c r="G100" s="121"/>
      <c r="H100" s="64"/>
      <c r="I100" s="101">
        <f>SUM(BUNCHE!BB100)</f>
        <v>10000</v>
      </c>
      <c r="J100" s="101">
        <v>1230</v>
      </c>
      <c r="K100" s="64"/>
      <c r="L100" s="107">
        <f>SUM(CMO!T100)</f>
        <v>3200</v>
      </c>
      <c r="M100" s="107"/>
      <c r="N100" s="64"/>
      <c r="O100" s="113">
        <f t="shared" si="40"/>
        <v>18200</v>
      </c>
      <c r="P100" s="113">
        <f t="shared" si="41"/>
        <v>5977.5</v>
      </c>
      <c r="Q100" s="64"/>
    </row>
    <row r="101" spans="1:17" outlineLevel="1">
      <c r="A101" s="31" t="s">
        <v>39</v>
      </c>
      <c r="B101" s="31" t="s">
        <v>40</v>
      </c>
      <c r="C101" s="96">
        <f>SUM(CAMP!BQ101)</f>
        <v>25497.874491410541</v>
      </c>
      <c r="D101" s="96">
        <v>19558.88</v>
      </c>
      <c r="E101" s="64"/>
      <c r="F101" s="122">
        <f>SUM(OLIVIER!AM101)</f>
        <v>7492.8269999117038</v>
      </c>
      <c r="G101" s="122">
        <v>4029.48</v>
      </c>
      <c r="H101" s="64"/>
      <c r="I101" s="102">
        <f>SUM(BUNCHE!BB101)</f>
        <v>15162.855462152511</v>
      </c>
      <c r="J101" s="102">
        <v>3526.92</v>
      </c>
      <c r="K101" s="64"/>
      <c r="L101" s="108">
        <f>SUM(CMO!T101)</f>
        <v>7982.8038568319735</v>
      </c>
      <c r="M101" s="108">
        <v>4042.31</v>
      </c>
      <c r="N101" s="64"/>
      <c r="O101" s="114">
        <f t="shared" si="40"/>
        <v>56136.360810306731</v>
      </c>
      <c r="P101" s="114">
        <f t="shared" si="41"/>
        <v>31157.59</v>
      </c>
      <c r="Q101" s="64"/>
    </row>
    <row r="102" spans="1:17">
      <c r="B102" s="31" t="s">
        <v>234</v>
      </c>
      <c r="C102" s="94">
        <f t="shared" ref="C102" si="42">+SUM(C93:C101)</f>
        <v>873235.93484622065</v>
      </c>
      <c r="D102" s="94">
        <f t="shared" ref="D102" si="43">+SUM(D93:D101)</f>
        <v>652025.15999999992</v>
      </c>
      <c r="E102" s="64"/>
      <c r="F102" s="120">
        <f t="shared" ref="F102" si="44">+SUM(F93:F101)</f>
        <v>265940.56924920937</v>
      </c>
      <c r="G102" s="120">
        <f t="shared" ref="G102" si="45">+SUM(G93:G101)</f>
        <v>143398.55000000002</v>
      </c>
      <c r="H102" s="64"/>
      <c r="I102" s="100">
        <f t="shared" ref="I102:J102" si="46">+SUM(I93:I101)</f>
        <v>540099.72611810535</v>
      </c>
      <c r="J102" s="100">
        <f t="shared" si="46"/>
        <v>200324.94000000003</v>
      </c>
      <c r="K102" s="64"/>
      <c r="L102" s="106">
        <f t="shared" ref="L102:M102" si="47">+SUM(L93:L101)</f>
        <v>241491.28453665291</v>
      </c>
      <c r="M102" s="106">
        <f t="shared" si="47"/>
        <v>173352.31000000003</v>
      </c>
      <c r="N102" s="64"/>
      <c r="O102" s="112">
        <f>SUM(O93:O101)</f>
        <v>1920767.5147501882</v>
      </c>
      <c r="P102" s="112">
        <f>SUM(P93:P101)</f>
        <v>1169100.96</v>
      </c>
      <c r="Q102" s="64"/>
    </row>
    <row r="103" spans="1:17">
      <c r="C103" s="94"/>
      <c r="D103" s="94"/>
      <c r="E103" s="64"/>
      <c r="F103" s="120"/>
      <c r="G103" s="120"/>
      <c r="H103" s="64"/>
      <c r="I103" s="100"/>
      <c r="J103" s="100"/>
      <c r="K103" s="64"/>
      <c r="L103" s="106"/>
      <c r="M103" s="106"/>
      <c r="N103" s="64"/>
      <c r="O103" s="112"/>
      <c r="P103" s="112"/>
      <c r="Q103" s="64"/>
    </row>
    <row r="104" spans="1:17" s="30" customFormat="1">
      <c r="A104" s="35"/>
      <c r="B104" s="35" t="s">
        <v>235</v>
      </c>
      <c r="C104" s="94">
        <f>SUM(C90+C102)</f>
        <v>4396615.454217528</v>
      </c>
      <c r="D104" s="94">
        <f>SUM(D90+D102)</f>
        <v>4064473.5699999994</v>
      </c>
      <c r="E104" s="60"/>
      <c r="F104" s="120">
        <f t="shared" ref="F104" si="48">+F90+F102</f>
        <v>1297955.2267713607</v>
      </c>
      <c r="G104" s="120">
        <f>SUM(G90+G102)</f>
        <v>883205.95000000007</v>
      </c>
      <c r="H104" s="60"/>
      <c r="I104" s="100">
        <f t="shared" ref="I104" si="49">+I90+I102</f>
        <v>2660428.2140842029</v>
      </c>
      <c r="J104" s="100">
        <f>SUM(J90+J102)</f>
        <v>1518814.21</v>
      </c>
      <c r="K104" s="60"/>
      <c r="L104" s="106">
        <f>SUM(L90+L102)</f>
        <v>1335026.0594451425</v>
      </c>
      <c r="M104" s="106">
        <f>SUM(M90+M102)</f>
        <v>1004432.0100000001</v>
      </c>
      <c r="N104" s="60"/>
      <c r="O104" s="112">
        <f>SUM(O90+O102)</f>
        <v>9690024.9545182325</v>
      </c>
      <c r="P104" s="112">
        <f>SUM(P90+P102)</f>
        <v>7470925.7400000012</v>
      </c>
      <c r="Q104" s="60"/>
    </row>
    <row r="105" spans="1:17">
      <c r="C105" s="94"/>
      <c r="D105" s="94"/>
      <c r="E105" s="64"/>
      <c r="F105" s="120"/>
      <c r="G105" s="120"/>
      <c r="H105" s="64"/>
      <c r="I105" s="100"/>
      <c r="J105" s="100"/>
      <c r="K105" s="64"/>
      <c r="L105" s="106"/>
      <c r="M105" s="106"/>
      <c r="N105" s="64"/>
      <c r="O105" s="112"/>
      <c r="P105" s="112"/>
      <c r="Q105" s="64"/>
    </row>
    <row r="106" spans="1:17">
      <c r="A106" s="31" t="s">
        <v>236</v>
      </c>
      <c r="C106" s="94"/>
      <c r="D106" s="94"/>
      <c r="E106" s="64"/>
      <c r="F106" s="120"/>
      <c r="G106" s="120"/>
      <c r="H106" s="64"/>
      <c r="I106" s="100"/>
      <c r="J106" s="100"/>
      <c r="K106" s="64"/>
      <c r="L106" s="106"/>
      <c r="M106" s="106"/>
      <c r="N106" s="64"/>
      <c r="O106" s="112"/>
      <c r="P106" s="112"/>
      <c r="Q106" s="64"/>
    </row>
    <row r="107" spans="1:17" outlineLevel="1">
      <c r="A107" s="31" t="s">
        <v>237</v>
      </c>
      <c r="C107" s="94"/>
      <c r="D107" s="94"/>
      <c r="E107" s="64"/>
      <c r="F107" s="120"/>
      <c r="G107" s="120"/>
      <c r="H107" s="64"/>
      <c r="I107" s="100"/>
      <c r="J107" s="100"/>
      <c r="K107" s="64"/>
      <c r="L107" s="106"/>
      <c r="M107" s="106"/>
      <c r="N107" s="64"/>
      <c r="O107" s="112"/>
      <c r="P107" s="112"/>
      <c r="Q107" s="64"/>
    </row>
    <row r="108" spans="1:17" outlineLevel="1">
      <c r="A108" s="31" t="s">
        <v>51</v>
      </c>
      <c r="B108" s="31" t="s">
        <v>50</v>
      </c>
      <c r="C108" s="95">
        <f>SUM(CAMP!BQ108)</f>
        <v>42300</v>
      </c>
      <c r="D108" s="95">
        <v>19462.5</v>
      </c>
      <c r="E108" s="64"/>
      <c r="F108" s="121">
        <f>SUM(OLIVIER!AM108)</f>
        <v>18300</v>
      </c>
      <c r="G108" s="121">
        <v>1875</v>
      </c>
      <c r="H108" s="64"/>
      <c r="I108" s="101">
        <f>SUM(BUNCHE!BB108)</f>
        <v>35300</v>
      </c>
      <c r="J108" s="101">
        <v>1912.5</v>
      </c>
      <c r="K108" s="64"/>
      <c r="L108" s="107">
        <f>SUM(CMO!T108)</f>
        <v>129960</v>
      </c>
      <c r="M108" s="107">
        <v>172809.57</v>
      </c>
      <c r="N108" s="64"/>
      <c r="O108" s="113">
        <f t="shared" ref="O108:O121" si="50">SUM(C108+F108+I108+L108)</f>
        <v>225860</v>
      </c>
      <c r="P108" s="113">
        <f t="shared" ref="P108:P121" si="51">SUM(D108+G108+J108+M108)</f>
        <v>196059.57</v>
      </c>
      <c r="Q108" s="64"/>
    </row>
    <row r="109" spans="1:17" outlineLevel="1">
      <c r="A109" s="31" t="s">
        <v>41</v>
      </c>
      <c r="B109" s="31" t="s">
        <v>42</v>
      </c>
      <c r="C109" s="95">
        <f>SUM(CAMP!BQ109)</f>
        <v>40000</v>
      </c>
      <c r="D109" s="95">
        <v>280788</v>
      </c>
      <c r="E109" s="64"/>
      <c r="F109" s="121">
        <f>SUM(OLIVIER!AM109)</f>
        <v>34000</v>
      </c>
      <c r="G109" s="121">
        <v>23544.38</v>
      </c>
      <c r="H109" s="64"/>
      <c r="I109" s="101">
        <f>SUM(BUNCHE!BB109)</f>
        <v>132000</v>
      </c>
      <c r="J109" s="101">
        <v>91500</v>
      </c>
      <c r="K109" s="64"/>
      <c r="L109" s="107">
        <f>SUM(CMO!T109)</f>
        <v>1200</v>
      </c>
      <c r="M109" s="107">
        <v>0</v>
      </c>
      <c r="N109" s="64"/>
      <c r="O109" s="113">
        <f t="shared" si="50"/>
        <v>207200</v>
      </c>
      <c r="P109" s="113">
        <f t="shared" si="51"/>
        <v>395832.38</v>
      </c>
      <c r="Q109" s="64"/>
    </row>
    <row r="110" spans="1:17" outlineLevel="1">
      <c r="A110" s="31" t="s">
        <v>43</v>
      </c>
      <c r="B110" s="31" t="s">
        <v>238</v>
      </c>
      <c r="C110" s="95">
        <f>SUM(CAMP!BQ110)</f>
        <v>21550</v>
      </c>
      <c r="D110" s="95">
        <v>5747.51</v>
      </c>
      <c r="E110" s="64"/>
      <c r="F110" s="121">
        <f>SUM(OLIVIER!AM110)</f>
        <v>8150</v>
      </c>
      <c r="G110" s="121">
        <f>857.71+105</f>
        <v>962.71</v>
      </c>
      <c r="H110" s="64"/>
      <c r="I110" s="101">
        <f>SUM(BUNCHE!BB110)</f>
        <v>13500</v>
      </c>
      <c r="J110" s="101">
        <v>2844.99</v>
      </c>
      <c r="K110" s="64"/>
      <c r="L110" s="107">
        <f>SUM(CMO!T110)</f>
        <v>44250</v>
      </c>
      <c r="M110" s="107">
        <v>34638</v>
      </c>
      <c r="N110" s="64"/>
      <c r="O110" s="113">
        <f t="shared" si="50"/>
        <v>87450</v>
      </c>
      <c r="P110" s="113">
        <f t="shared" si="51"/>
        <v>44193.21</v>
      </c>
      <c r="Q110" s="64"/>
    </row>
    <row r="111" spans="1:17" outlineLevel="1">
      <c r="A111" s="31" t="s">
        <v>44</v>
      </c>
      <c r="B111" s="31" t="s">
        <v>45</v>
      </c>
      <c r="C111" s="95">
        <f>SUM(CAMP!BQ111)</f>
        <v>5830</v>
      </c>
      <c r="D111" s="95">
        <v>0</v>
      </c>
      <c r="E111" s="64"/>
      <c r="F111" s="121">
        <f>SUM(OLIVIER!AM111)</f>
        <v>1600</v>
      </c>
      <c r="G111" s="121"/>
      <c r="H111" s="64"/>
      <c r="I111" s="101">
        <f>SUM(BUNCHE!BB111)</f>
        <v>3000</v>
      </c>
      <c r="J111" s="101"/>
      <c r="K111" s="64"/>
      <c r="L111" s="107">
        <f>SUM(CMO!T111)</f>
        <v>11200</v>
      </c>
      <c r="M111" s="107"/>
      <c r="N111" s="64"/>
      <c r="O111" s="113">
        <f t="shared" si="50"/>
        <v>21630</v>
      </c>
      <c r="P111" s="113">
        <f t="shared" si="51"/>
        <v>0</v>
      </c>
      <c r="Q111" s="64"/>
    </row>
    <row r="112" spans="1:17" outlineLevel="1">
      <c r="A112" s="31" t="s">
        <v>46</v>
      </c>
      <c r="B112" s="31" t="s">
        <v>239</v>
      </c>
      <c r="C112" s="95">
        <f>SUM(CAMP!BQ112)</f>
        <v>0</v>
      </c>
      <c r="D112" s="95">
        <v>0</v>
      </c>
      <c r="E112" s="64"/>
      <c r="F112" s="121">
        <f>SUM(OLIVIER!AM112)</f>
        <v>0</v>
      </c>
      <c r="G112" s="121">
        <v>97.65</v>
      </c>
      <c r="H112" s="64"/>
      <c r="I112" s="101">
        <f>SUM(BUNCHE!BB112)</f>
        <v>0</v>
      </c>
      <c r="J112" s="101">
        <v>3008.13</v>
      </c>
      <c r="K112" s="64"/>
      <c r="L112" s="107">
        <f>SUM(CMO!T112)</f>
        <v>43000</v>
      </c>
      <c r="M112" s="107">
        <v>1639.47</v>
      </c>
      <c r="N112" s="64"/>
      <c r="O112" s="113">
        <f t="shared" si="50"/>
        <v>43000</v>
      </c>
      <c r="P112" s="113">
        <f t="shared" si="51"/>
        <v>4745.25</v>
      </c>
      <c r="Q112" s="64"/>
    </row>
    <row r="113" spans="1:17" outlineLevel="1">
      <c r="A113" s="31" t="s">
        <v>47</v>
      </c>
      <c r="B113" s="31" t="s">
        <v>240</v>
      </c>
      <c r="C113" s="95">
        <f>SUM(CAMP!BQ113)</f>
        <v>0</v>
      </c>
      <c r="D113" s="95">
        <v>22455.26</v>
      </c>
      <c r="E113" s="64"/>
      <c r="F113" s="121">
        <f>SUM(OLIVIER!AM113)</f>
        <v>0</v>
      </c>
      <c r="G113" s="121">
        <v>0</v>
      </c>
      <c r="H113" s="64"/>
      <c r="I113" s="101">
        <f>SUM(BUNCHE!BB113)</f>
        <v>0</v>
      </c>
      <c r="J113" s="101">
        <v>0</v>
      </c>
      <c r="K113" s="64"/>
      <c r="L113" s="107">
        <f>SUM(CMO!T113)</f>
        <v>32500</v>
      </c>
      <c r="M113" s="107">
        <v>12079.5</v>
      </c>
      <c r="N113" s="64"/>
      <c r="O113" s="113">
        <f t="shared" si="50"/>
        <v>32500</v>
      </c>
      <c r="P113" s="113">
        <f t="shared" si="51"/>
        <v>34534.759999999995</v>
      </c>
      <c r="Q113" s="64"/>
    </row>
    <row r="114" spans="1:17" outlineLevel="1">
      <c r="A114" s="31" t="s">
        <v>48</v>
      </c>
      <c r="B114" s="31" t="s">
        <v>49</v>
      </c>
      <c r="C114" s="95">
        <f>SUM(CAMP!BQ114)</f>
        <v>11300</v>
      </c>
      <c r="D114" s="95">
        <v>17303</v>
      </c>
      <c r="E114" s="64"/>
      <c r="F114" s="121">
        <f>SUM(OLIVIER!AM114)</f>
        <v>6100</v>
      </c>
      <c r="G114" s="121">
        <v>2763.24</v>
      </c>
      <c r="H114" s="64"/>
      <c r="I114" s="101">
        <f>SUM(BUNCHE!BB114)</f>
        <v>11300</v>
      </c>
      <c r="J114" s="101">
        <v>6118.62</v>
      </c>
      <c r="K114" s="64"/>
      <c r="L114" s="107">
        <f>SUM(CMO!T114)</f>
        <v>9000</v>
      </c>
      <c r="M114" s="107">
        <v>10055.64</v>
      </c>
      <c r="N114" s="64"/>
      <c r="O114" s="113">
        <f t="shared" si="50"/>
        <v>37700</v>
      </c>
      <c r="P114" s="113">
        <f t="shared" si="51"/>
        <v>36240.5</v>
      </c>
      <c r="Q114" s="64"/>
    </row>
    <row r="115" spans="1:17" outlineLevel="1">
      <c r="A115" s="31" t="s">
        <v>82</v>
      </c>
      <c r="B115" s="31" t="s">
        <v>166</v>
      </c>
      <c r="C115" s="95">
        <f>SUM(CAMP!BQ115)</f>
        <v>2100</v>
      </c>
      <c r="D115" s="95">
        <v>75</v>
      </c>
      <c r="E115" s="64"/>
      <c r="F115" s="121">
        <f>SUM(OLIVIER!AM115)</f>
        <v>750</v>
      </c>
      <c r="G115" s="121">
        <v>0</v>
      </c>
      <c r="H115" s="64"/>
      <c r="I115" s="101">
        <f>SUM(BUNCHE!BB115)</f>
        <v>1025</v>
      </c>
      <c r="J115" s="101">
        <v>75</v>
      </c>
      <c r="K115" s="64"/>
      <c r="L115" s="107">
        <f>SUM(CMO!T115)</f>
        <v>1000</v>
      </c>
      <c r="M115" s="107">
        <v>5022</v>
      </c>
      <c r="N115" s="64"/>
      <c r="O115" s="113">
        <f t="shared" si="50"/>
        <v>4875</v>
      </c>
      <c r="P115" s="113">
        <f t="shared" si="51"/>
        <v>5172</v>
      </c>
      <c r="Q115" s="64"/>
    </row>
    <row r="116" spans="1:17" outlineLevel="1">
      <c r="A116" s="31" t="s">
        <v>104</v>
      </c>
      <c r="B116" s="31" t="s">
        <v>103</v>
      </c>
      <c r="C116" s="95">
        <f>SUM(CAMP!BQ116)</f>
        <v>0</v>
      </c>
      <c r="D116" s="95">
        <v>0</v>
      </c>
      <c r="E116" s="64"/>
      <c r="F116" s="121">
        <f>SUM(OLIVIER!AM116)</f>
        <v>0</v>
      </c>
      <c r="G116" s="121"/>
      <c r="H116" s="64"/>
      <c r="I116" s="101">
        <f>SUM(BUNCHE!BB116)</f>
        <v>0</v>
      </c>
      <c r="J116" s="101"/>
      <c r="K116" s="64"/>
      <c r="L116" s="107">
        <f>SUM(CMO!T116)</f>
        <v>2000</v>
      </c>
      <c r="M116" s="107"/>
      <c r="N116" s="64"/>
      <c r="O116" s="113">
        <f t="shared" si="50"/>
        <v>2000</v>
      </c>
      <c r="P116" s="113">
        <f t="shared" si="51"/>
        <v>0</v>
      </c>
      <c r="Q116" s="64"/>
    </row>
    <row r="117" spans="1:17" outlineLevel="1">
      <c r="A117" s="31" t="s">
        <v>59</v>
      </c>
      <c r="B117" s="31" t="s">
        <v>318</v>
      </c>
      <c r="C117" s="95">
        <f>SUM(CAMP!BQ117)</f>
        <v>2000</v>
      </c>
      <c r="D117" s="95">
        <v>2299.71</v>
      </c>
      <c r="E117" s="64"/>
      <c r="F117" s="121">
        <f>SUM(OLIVIER!AM117)</f>
        <v>1000</v>
      </c>
      <c r="G117" s="121">
        <v>324</v>
      </c>
      <c r="H117" s="64"/>
      <c r="I117" s="101">
        <f>SUM(BUNCHE!BB117)</f>
        <v>3000</v>
      </c>
      <c r="J117" s="101">
        <v>486</v>
      </c>
      <c r="K117" s="64"/>
      <c r="L117" s="107">
        <f>SUM(CMO!T117)</f>
        <v>0</v>
      </c>
      <c r="M117" s="107"/>
      <c r="N117" s="64"/>
      <c r="O117" s="113">
        <f t="shared" si="50"/>
        <v>6000</v>
      </c>
      <c r="P117" s="113">
        <f t="shared" si="51"/>
        <v>3109.71</v>
      </c>
      <c r="Q117" s="64"/>
    </row>
    <row r="118" spans="1:17" outlineLevel="1">
      <c r="A118" s="31" t="s">
        <v>87</v>
      </c>
      <c r="B118" s="31" t="s">
        <v>88</v>
      </c>
      <c r="C118" s="95">
        <f>SUM(CAMP!BQ118)</f>
        <v>0</v>
      </c>
      <c r="D118" s="95">
        <v>5585.51</v>
      </c>
      <c r="E118" s="64"/>
      <c r="F118" s="121">
        <f>SUM(OLIVIER!AM118)</f>
        <v>0</v>
      </c>
      <c r="G118" s="121">
        <v>1316.88</v>
      </c>
      <c r="H118" s="64"/>
      <c r="I118" s="101">
        <f>SUM(BUNCHE!BB118)</f>
        <v>0</v>
      </c>
      <c r="J118" s="101">
        <v>9139.44</v>
      </c>
      <c r="K118" s="64"/>
      <c r="L118" s="107">
        <f>SUM(CMO!T118)</f>
        <v>75085</v>
      </c>
      <c r="M118" s="107">
        <v>18806.3</v>
      </c>
      <c r="N118" s="64"/>
      <c r="O118" s="113">
        <f t="shared" si="50"/>
        <v>75085</v>
      </c>
      <c r="P118" s="113">
        <f t="shared" si="51"/>
        <v>34848.130000000005</v>
      </c>
      <c r="Q118" s="64"/>
    </row>
    <row r="119" spans="1:17" outlineLevel="1">
      <c r="A119" s="31" t="s">
        <v>89</v>
      </c>
      <c r="B119" s="31" t="s">
        <v>90</v>
      </c>
      <c r="C119" s="95">
        <f>SUM(CAMP!BQ119)</f>
        <v>0</v>
      </c>
      <c r="D119" s="95">
        <v>4526.12</v>
      </c>
      <c r="E119" s="64"/>
      <c r="F119" s="121">
        <f>SUM(OLIVIER!AM119)</f>
        <v>0</v>
      </c>
      <c r="G119" s="121">
        <v>1457.34</v>
      </c>
      <c r="H119" s="64"/>
      <c r="I119" s="101">
        <f>SUM(BUNCHE!BB119)</f>
        <v>0</v>
      </c>
      <c r="J119" s="101">
        <v>3408.36</v>
      </c>
      <c r="K119" s="64"/>
      <c r="L119" s="107">
        <f>SUM(CMO!T119)</f>
        <v>12000</v>
      </c>
      <c r="M119" s="107">
        <v>10437.32</v>
      </c>
      <c r="N119" s="64"/>
      <c r="O119" s="113">
        <f t="shared" si="50"/>
        <v>12000</v>
      </c>
      <c r="P119" s="113">
        <f t="shared" si="51"/>
        <v>19829.14</v>
      </c>
      <c r="Q119" s="64"/>
    </row>
    <row r="120" spans="1:17" outlineLevel="1">
      <c r="A120" s="31" t="s">
        <v>413</v>
      </c>
      <c r="B120" s="31" t="s">
        <v>414</v>
      </c>
      <c r="C120" s="95">
        <f>SUM(CAMP!BQ120)</f>
        <v>0</v>
      </c>
      <c r="D120" s="95">
        <v>450</v>
      </c>
      <c r="E120" s="64"/>
      <c r="F120" s="121">
        <f>SUM(OLIVIER!AM120)</f>
        <v>0</v>
      </c>
      <c r="G120" s="121">
        <v>151.88</v>
      </c>
      <c r="H120" s="64"/>
      <c r="I120" s="101">
        <f>SUM(BUNCHE!BB120)</f>
        <v>340725</v>
      </c>
      <c r="J120" s="101">
        <v>203188.13</v>
      </c>
      <c r="K120" s="64"/>
      <c r="L120" s="107">
        <f>SUM(CMO!T120)</f>
        <v>0</v>
      </c>
      <c r="M120" s="107"/>
      <c r="N120" s="64"/>
      <c r="O120" s="113">
        <f t="shared" si="50"/>
        <v>340725</v>
      </c>
      <c r="P120" s="113">
        <f t="shared" si="51"/>
        <v>203790.01</v>
      </c>
      <c r="Q120" s="64"/>
    </row>
    <row r="121" spans="1:17" outlineLevel="1">
      <c r="A121" s="31" t="s">
        <v>52</v>
      </c>
      <c r="B121" s="31" t="s">
        <v>53</v>
      </c>
      <c r="C121" s="96">
        <f>SUM(CAMP!BQ121)</f>
        <v>13500</v>
      </c>
      <c r="D121" s="96">
        <v>17377.41</v>
      </c>
      <c r="E121" s="64"/>
      <c r="F121" s="122">
        <f>SUM(OLIVIER!AM121)</f>
        <v>4500</v>
      </c>
      <c r="G121" s="122">
        <v>1049.18</v>
      </c>
      <c r="H121" s="64"/>
      <c r="I121" s="102">
        <f>SUM(BUNCHE!BB121)</f>
        <v>5500</v>
      </c>
      <c r="J121" s="102">
        <f>232.5+30+9393.29</f>
        <v>9655.7900000000009</v>
      </c>
      <c r="K121" s="64"/>
      <c r="L121" s="108">
        <f>SUM(CMO!T121)</f>
        <v>32300</v>
      </c>
      <c r="M121" s="108">
        <f>2092.5+16273.71+14976.5</f>
        <v>33342.71</v>
      </c>
      <c r="N121" s="64"/>
      <c r="O121" s="114">
        <f t="shared" si="50"/>
        <v>55800</v>
      </c>
      <c r="P121" s="114">
        <f t="shared" si="51"/>
        <v>61425.09</v>
      </c>
      <c r="Q121" s="64"/>
    </row>
    <row r="122" spans="1:17">
      <c r="B122" s="31" t="s">
        <v>241</v>
      </c>
      <c r="C122" s="94">
        <f>SUM(C108:C121)</f>
        <v>138580</v>
      </c>
      <c r="D122" s="94">
        <f>SUM(D108:D121)</f>
        <v>376070.02</v>
      </c>
      <c r="E122" s="64"/>
      <c r="F122" s="120">
        <f>SUM(F108:F121)</f>
        <v>74400</v>
      </c>
      <c r="G122" s="120">
        <f>SUM(G108:G121)</f>
        <v>33542.26</v>
      </c>
      <c r="H122" s="64"/>
      <c r="I122" s="100">
        <f>SUM(I108:I121)</f>
        <v>545350</v>
      </c>
      <c r="J122" s="100">
        <f>SUM(J108:J121)</f>
        <v>331336.96000000002</v>
      </c>
      <c r="K122" s="64"/>
      <c r="L122" s="106">
        <f>SUM(L108:L121)</f>
        <v>393495</v>
      </c>
      <c r="M122" s="106">
        <f>SUM(M108:M121)</f>
        <v>298830.51</v>
      </c>
      <c r="N122" s="64"/>
      <c r="O122" s="112">
        <f>SUM(O108:O121)</f>
        <v>1151825</v>
      </c>
      <c r="P122" s="112">
        <f>SUM(P108:P121)</f>
        <v>1039779.7499999999</v>
      </c>
      <c r="Q122" s="64"/>
    </row>
    <row r="123" spans="1:17" outlineLevel="1">
      <c r="C123" s="94"/>
      <c r="D123" s="94"/>
      <c r="E123" s="64"/>
      <c r="F123" s="120"/>
      <c r="G123" s="120"/>
      <c r="H123" s="64"/>
      <c r="I123" s="100"/>
      <c r="J123" s="100"/>
      <c r="K123" s="64"/>
      <c r="L123" s="106"/>
      <c r="M123" s="106"/>
      <c r="N123" s="64"/>
      <c r="O123" s="112"/>
      <c r="P123" s="112"/>
      <c r="Q123" s="64"/>
    </row>
    <row r="124" spans="1:17" outlineLevel="1">
      <c r="A124" s="31" t="s">
        <v>242</v>
      </c>
      <c r="C124" s="94"/>
      <c r="D124" s="94"/>
      <c r="E124" s="64"/>
      <c r="F124" s="120"/>
      <c r="G124" s="120"/>
      <c r="H124" s="64"/>
      <c r="I124" s="100"/>
      <c r="J124" s="100"/>
      <c r="K124" s="64"/>
      <c r="L124" s="106"/>
      <c r="M124" s="106"/>
      <c r="N124" s="64"/>
      <c r="O124" s="112"/>
      <c r="P124" s="112"/>
      <c r="Q124" s="64"/>
    </row>
    <row r="125" spans="1:17" outlineLevel="1">
      <c r="A125" s="31" t="s">
        <v>56</v>
      </c>
      <c r="B125" s="31" t="s">
        <v>245</v>
      </c>
      <c r="C125" s="95">
        <f>SUM(CAMP!BQ125)</f>
        <v>8000</v>
      </c>
      <c r="D125" s="95">
        <v>398.88</v>
      </c>
      <c r="E125" s="64"/>
      <c r="F125" s="121">
        <f>SUM(OLIVIER!AM125)</f>
        <v>6000</v>
      </c>
      <c r="G125" s="121">
        <v>5967.89</v>
      </c>
      <c r="H125" s="64"/>
      <c r="I125" s="101">
        <f>SUM(BUNCHE!BB125)</f>
        <v>5000</v>
      </c>
      <c r="J125" s="101"/>
      <c r="K125" s="64"/>
      <c r="L125" s="107">
        <f>SUM(CMO!T125)</f>
        <v>0</v>
      </c>
      <c r="M125" s="107"/>
      <c r="N125" s="64"/>
      <c r="O125" s="113">
        <f t="shared" ref="O125:O132" si="52">SUM(C125+F125+I125+L125)</f>
        <v>19000</v>
      </c>
      <c r="P125" s="113">
        <f t="shared" ref="P125:P132" si="53">SUM(D125+G125+J125+M125)</f>
        <v>6366.77</v>
      </c>
      <c r="Q125" s="64"/>
    </row>
    <row r="126" spans="1:17" outlineLevel="1">
      <c r="A126" s="31" t="s">
        <v>57</v>
      </c>
      <c r="B126" s="31" t="s">
        <v>246</v>
      </c>
      <c r="C126" s="95">
        <f>SUM(CAMP!BQ126)</f>
        <v>6000</v>
      </c>
      <c r="D126" s="95">
        <v>6042.48</v>
      </c>
      <c r="E126" s="64"/>
      <c r="F126" s="121">
        <f>SUM(OLIVIER!AM126)</f>
        <v>4800</v>
      </c>
      <c r="G126" s="121">
        <v>4290.72</v>
      </c>
      <c r="H126" s="64"/>
      <c r="I126" s="101">
        <f>SUM(BUNCHE!BB126)</f>
        <v>4800</v>
      </c>
      <c r="J126" s="101">
        <v>4198.59</v>
      </c>
      <c r="K126" s="64"/>
      <c r="L126" s="107">
        <f>SUM(CMO!T126)</f>
        <v>612</v>
      </c>
      <c r="M126" s="107">
        <v>16.350000000000001</v>
      </c>
      <c r="N126" s="64"/>
      <c r="O126" s="113">
        <f t="shared" si="52"/>
        <v>16212</v>
      </c>
      <c r="P126" s="113">
        <f t="shared" si="53"/>
        <v>14548.140000000001</v>
      </c>
      <c r="Q126" s="64"/>
    </row>
    <row r="127" spans="1:17" outlineLevel="1">
      <c r="A127" s="31" t="s">
        <v>58</v>
      </c>
      <c r="B127" s="31" t="s">
        <v>247</v>
      </c>
      <c r="C127" s="95">
        <f>SUM(CAMP!BQ127)</f>
        <v>400</v>
      </c>
      <c r="D127" s="95">
        <v>1776.56</v>
      </c>
      <c r="E127" s="64"/>
      <c r="F127" s="121">
        <f>SUM(OLIVIER!AM127)</f>
        <v>400</v>
      </c>
      <c r="G127" s="121">
        <v>663.93</v>
      </c>
      <c r="H127" s="64"/>
      <c r="I127" s="101">
        <f>SUM(BUNCHE!BB127)</f>
        <v>900</v>
      </c>
      <c r="J127" s="101">
        <v>303</v>
      </c>
      <c r="K127" s="64"/>
      <c r="L127" s="107">
        <f>SUM(CMO!T127)</f>
        <v>0</v>
      </c>
      <c r="M127" s="107"/>
      <c r="N127" s="64"/>
      <c r="O127" s="113">
        <f t="shared" si="52"/>
        <v>1700</v>
      </c>
      <c r="P127" s="113">
        <f t="shared" si="53"/>
        <v>2743.49</v>
      </c>
      <c r="Q127" s="64"/>
    </row>
    <row r="128" spans="1:17" outlineLevel="1">
      <c r="A128" s="31" t="s">
        <v>55</v>
      </c>
      <c r="B128" s="31" t="s">
        <v>244</v>
      </c>
      <c r="C128" s="95">
        <f>SUM(CAMP!BQ128)</f>
        <v>7250</v>
      </c>
      <c r="D128" s="95">
        <v>4498.3999999999996</v>
      </c>
      <c r="E128" s="64"/>
      <c r="F128" s="121">
        <f>SUM(OLIVIER!AM128)</f>
        <v>4000</v>
      </c>
      <c r="G128" s="121">
        <v>52.46</v>
      </c>
      <c r="H128" s="64"/>
      <c r="I128" s="101">
        <f>SUM(BUNCHE!BB128)</f>
        <v>7250</v>
      </c>
      <c r="J128" s="101"/>
      <c r="K128" s="64"/>
      <c r="L128" s="107">
        <f>SUM(CMO!T128)</f>
        <v>0</v>
      </c>
      <c r="M128" s="107"/>
      <c r="N128" s="64"/>
      <c r="O128" s="113">
        <f t="shared" si="52"/>
        <v>18500</v>
      </c>
      <c r="P128" s="113">
        <f t="shared" si="53"/>
        <v>4550.8599999999997</v>
      </c>
      <c r="Q128" s="64"/>
    </row>
    <row r="129" spans="1:17" ht="10.5" customHeight="1" outlineLevel="1">
      <c r="A129" s="31" t="s">
        <v>54</v>
      </c>
      <c r="B129" s="31" t="s">
        <v>243</v>
      </c>
      <c r="C129" s="95">
        <f>SUM(CAMP!BQ129)</f>
        <v>50000</v>
      </c>
      <c r="D129" s="95">
        <v>55989.15</v>
      </c>
      <c r="E129" s="64"/>
      <c r="F129" s="121">
        <f>SUM(OLIVIER!AM129)</f>
        <v>3000</v>
      </c>
      <c r="G129" s="121">
        <v>21958.28</v>
      </c>
      <c r="H129" s="64"/>
      <c r="I129" s="101">
        <f>SUM(BUNCHE!BB129)</f>
        <v>50000</v>
      </c>
      <c r="J129" s="101"/>
      <c r="K129" s="64"/>
      <c r="L129" s="107">
        <f>SUM(CMO!T129)</f>
        <v>0</v>
      </c>
      <c r="M129" s="107"/>
      <c r="N129" s="64"/>
      <c r="O129" s="113">
        <f t="shared" si="52"/>
        <v>103000</v>
      </c>
      <c r="P129" s="113">
        <f t="shared" si="53"/>
        <v>77947.429999999993</v>
      </c>
      <c r="Q129" s="64"/>
    </row>
    <row r="130" spans="1:17" outlineLevel="1">
      <c r="A130" s="31" t="s">
        <v>60</v>
      </c>
      <c r="B130" s="31" t="s">
        <v>61</v>
      </c>
      <c r="C130" s="95">
        <f>SUM(CAMP!BQ130)</f>
        <v>72774</v>
      </c>
      <c r="D130" s="95">
        <f>59651.09+110113.5</f>
        <v>169764.59</v>
      </c>
      <c r="E130" s="64"/>
      <c r="F130" s="121">
        <f>SUM(OLIVIER!AM130)</f>
        <v>21000</v>
      </c>
      <c r="G130" s="121">
        <f>7497.38+4079.58</f>
        <v>11576.96</v>
      </c>
      <c r="H130" s="64"/>
      <c r="I130" s="101">
        <f>SUM(BUNCHE!BB130)</f>
        <v>41500</v>
      </c>
      <c r="J130" s="101">
        <v>9687.6200000000008</v>
      </c>
      <c r="K130" s="64"/>
      <c r="L130" s="107">
        <f>SUM(CMO!T130)</f>
        <v>13920</v>
      </c>
      <c r="M130" s="107">
        <v>2287.56</v>
      </c>
      <c r="N130" s="64"/>
      <c r="O130" s="113">
        <f t="shared" si="52"/>
        <v>149194</v>
      </c>
      <c r="P130" s="113">
        <f t="shared" si="53"/>
        <v>193316.72999999998</v>
      </c>
      <c r="Q130" s="64"/>
    </row>
    <row r="131" spans="1:17" outlineLevel="1">
      <c r="A131" s="31" t="s">
        <v>411</v>
      </c>
      <c r="B131" s="31" t="s">
        <v>412</v>
      </c>
      <c r="C131" s="95">
        <f>SUM(CAMP!BQ131)</f>
        <v>454228</v>
      </c>
      <c r="D131" s="95"/>
      <c r="E131" s="64"/>
      <c r="F131" s="121">
        <f>SUM(OLIVIER!AM131)</f>
        <v>131920</v>
      </c>
      <c r="G131" s="121">
        <v>82050</v>
      </c>
      <c r="H131" s="64"/>
      <c r="I131" s="101">
        <f>SUM(BUNCHE!BB131)</f>
        <v>244000</v>
      </c>
      <c r="J131" s="101">
        <v>205799.76</v>
      </c>
      <c r="K131" s="64"/>
      <c r="L131" s="107">
        <f>SUM(CMO!T131)</f>
        <v>0</v>
      </c>
      <c r="M131" s="107"/>
      <c r="N131" s="64"/>
      <c r="O131" s="113">
        <f t="shared" si="52"/>
        <v>830148</v>
      </c>
      <c r="P131" s="113">
        <f t="shared" si="53"/>
        <v>287849.76</v>
      </c>
      <c r="Q131" s="64"/>
    </row>
    <row r="132" spans="1:17" outlineLevel="1">
      <c r="A132" s="31" t="s">
        <v>62</v>
      </c>
      <c r="B132" s="31" t="s">
        <v>248</v>
      </c>
      <c r="C132" s="96">
        <f>SUM(CAMP!BQ132)</f>
        <v>23880</v>
      </c>
      <c r="D132" s="96">
        <v>12248.45</v>
      </c>
      <c r="E132" s="64"/>
      <c r="F132" s="122">
        <f>SUM(OLIVIER!AM132)</f>
        <v>7500</v>
      </c>
      <c r="G132" s="122">
        <v>388.97</v>
      </c>
      <c r="H132" s="64"/>
      <c r="I132" s="102">
        <f>SUM(BUNCHE!BB132)</f>
        <v>23880</v>
      </c>
      <c r="J132" s="102">
        <v>12723.53</v>
      </c>
      <c r="K132" s="64"/>
      <c r="L132" s="108">
        <f>SUM(CMO!T132)</f>
        <v>9000</v>
      </c>
      <c r="M132" s="108"/>
      <c r="N132" s="64"/>
      <c r="O132" s="114">
        <f t="shared" si="52"/>
        <v>64260</v>
      </c>
      <c r="P132" s="114">
        <f t="shared" si="53"/>
        <v>25360.95</v>
      </c>
      <c r="Q132" s="64"/>
    </row>
    <row r="133" spans="1:17">
      <c r="B133" s="31" t="s">
        <v>249</v>
      </c>
      <c r="C133" s="94">
        <f>SUM(C125:C132)</f>
        <v>622532</v>
      </c>
      <c r="D133" s="94">
        <f>SUM(D125:D132)</f>
        <v>250718.51</v>
      </c>
      <c r="E133" s="64"/>
      <c r="F133" s="120">
        <f>SUM(F125:F132)</f>
        <v>178620</v>
      </c>
      <c r="G133" s="120">
        <f>SUM(G125:G132)</f>
        <v>126949.20999999999</v>
      </c>
      <c r="H133" s="64"/>
      <c r="I133" s="100">
        <f>SUM(I125:I132)</f>
        <v>377330</v>
      </c>
      <c r="J133" s="100">
        <f>SUM(J125:J132)</f>
        <v>232712.5</v>
      </c>
      <c r="K133" s="64"/>
      <c r="L133" s="106">
        <f>SUM(L125:L132)</f>
        <v>23532</v>
      </c>
      <c r="M133" s="106">
        <f>SUM(M125:M132)</f>
        <v>2303.91</v>
      </c>
      <c r="N133" s="64"/>
      <c r="O133" s="112">
        <f>SUM(O125:O132)</f>
        <v>1202014</v>
      </c>
      <c r="P133" s="112">
        <f>SUM(P125:P132)</f>
        <v>612684.12999999989</v>
      </c>
      <c r="Q133" s="64"/>
    </row>
    <row r="134" spans="1:17" outlineLevel="1">
      <c r="C134" s="94"/>
      <c r="D134" s="94"/>
      <c r="E134" s="64"/>
      <c r="F134" s="120"/>
      <c r="G134" s="120"/>
      <c r="H134" s="64"/>
      <c r="I134" s="100"/>
      <c r="J134" s="100"/>
      <c r="K134" s="64"/>
      <c r="L134" s="106"/>
      <c r="M134" s="106"/>
      <c r="N134" s="64"/>
      <c r="O134" s="112"/>
      <c r="P134" s="112"/>
      <c r="Q134" s="64"/>
    </row>
    <row r="135" spans="1:17" outlineLevel="1">
      <c r="A135" s="31" t="s">
        <v>250</v>
      </c>
      <c r="C135" s="94"/>
      <c r="D135" s="94"/>
      <c r="E135" s="64"/>
      <c r="F135" s="120"/>
      <c r="G135" s="120"/>
      <c r="H135" s="64"/>
      <c r="I135" s="100"/>
      <c r="J135" s="100"/>
      <c r="K135" s="64"/>
      <c r="L135" s="106"/>
      <c r="M135" s="106"/>
      <c r="N135" s="64"/>
      <c r="O135" s="112"/>
      <c r="P135" s="112"/>
      <c r="Q135" s="64"/>
    </row>
    <row r="136" spans="1:17" outlineLevel="1">
      <c r="A136" s="31" t="s">
        <v>251</v>
      </c>
      <c r="C136" s="94"/>
      <c r="D136" s="94"/>
      <c r="E136" s="64"/>
      <c r="F136" s="120"/>
      <c r="G136" s="120"/>
      <c r="H136" s="64"/>
      <c r="I136" s="100"/>
      <c r="J136" s="100"/>
      <c r="K136" s="64"/>
      <c r="L136" s="106"/>
      <c r="M136" s="106"/>
      <c r="N136" s="64"/>
      <c r="O136" s="112"/>
      <c r="P136" s="112"/>
      <c r="Q136" s="64"/>
    </row>
    <row r="137" spans="1:17" outlineLevel="1">
      <c r="A137" s="31" t="s">
        <v>63</v>
      </c>
      <c r="B137" s="31" t="s">
        <v>252</v>
      </c>
      <c r="C137" s="95">
        <f>SUM(CAMP!BQ137)</f>
        <v>68480</v>
      </c>
      <c r="D137" s="95">
        <v>9932.8799999999992</v>
      </c>
      <c r="E137" s="64"/>
      <c r="F137" s="121">
        <f>SUM(OLIVIER!AM137)</f>
        <v>0</v>
      </c>
      <c r="G137" s="121">
        <v>3634.05</v>
      </c>
      <c r="H137" s="64"/>
      <c r="I137" s="101">
        <f>SUM(BUNCHE!BB137)</f>
        <v>42800</v>
      </c>
      <c r="J137" s="101">
        <v>4806.6899999999996</v>
      </c>
      <c r="K137" s="64"/>
      <c r="L137" s="107">
        <f>SUM(CMO!T137)</f>
        <v>24871.25</v>
      </c>
      <c r="M137" s="107">
        <v>1497.83</v>
      </c>
      <c r="N137" s="64"/>
      <c r="O137" s="113">
        <f t="shared" ref="O137:O140" si="54">SUM(C137+F137+I137+L137)</f>
        <v>136151.25</v>
      </c>
      <c r="P137" s="113">
        <f>SUM(D137+G137+J137+M137)</f>
        <v>19871.449999999997</v>
      </c>
      <c r="Q137" s="64"/>
    </row>
    <row r="138" spans="1:17" outlineLevel="1">
      <c r="A138" s="31" t="s">
        <v>64</v>
      </c>
      <c r="B138" s="31" t="s">
        <v>253</v>
      </c>
      <c r="C138" s="95">
        <f>SUM(CAMP!BQ138)</f>
        <v>52786.65</v>
      </c>
      <c r="D138" s="95">
        <v>96092.99</v>
      </c>
      <c r="E138" s="64"/>
      <c r="F138" s="121">
        <f>SUM(OLIVIER!AM138)</f>
        <v>17733.015234375001</v>
      </c>
      <c r="G138" s="121">
        <v>16600.73</v>
      </c>
      <c r="H138" s="64"/>
      <c r="I138" s="101">
        <f>SUM(BUNCHE!BB138)</f>
        <v>32991.65625</v>
      </c>
      <c r="J138" s="101">
        <v>55547.67</v>
      </c>
      <c r="K138" s="64"/>
      <c r="L138" s="107">
        <f>SUM(CMO!T138)</f>
        <v>0</v>
      </c>
      <c r="M138" s="107">
        <v>1915.31</v>
      </c>
      <c r="N138" s="64"/>
      <c r="O138" s="113">
        <f t="shared" si="54"/>
        <v>103511.321484375</v>
      </c>
      <c r="P138" s="113">
        <f>SUM(D138+G138+J138+M138)</f>
        <v>170156.7</v>
      </c>
      <c r="Q138" s="64"/>
    </row>
    <row r="139" spans="1:17" outlineLevel="1">
      <c r="A139" s="31" t="s">
        <v>417</v>
      </c>
      <c r="B139" s="31" t="s">
        <v>418</v>
      </c>
      <c r="C139" s="95">
        <f>SUM(CAMP!BQ139)</f>
        <v>0</v>
      </c>
      <c r="D139" s="95"/>
      <c r="E139" s="64"/>
      <c r="F139" s="121">
        <f>SUM(OLIVIER!AM139)</f>
        <v>0</v>
      </c>
      <c r="G139" s="121"/>
      <c r="H139" s="64"/>
      <c r="I139" s="101">
        <f>SUM(BUNCHE!BB139)</f>
        <v>0</v>
      </c>
      <c r="J139" s="101"/>
      <c r="K139" s="64"/>
      <c r="L139" s="107">
        <f>SUM(CMO!T139)</f>
        <v>7199.85</v>
      </c>
      <c r="M139" s="107">
        <v>7170.26</v>
      </c>
      <c r="N139" s="64"/>
      <c r="O139" s="113">
        <f t="shared" si="54"/>
        <v>7199.85</v>
      </c>
      <c r="P139" s="113">
        <f>SUM(D139+G139+J139+M139)</f>
        <v>7170.26</v>
      </c>
      <c r="Q139" s="64"/>
    </row>
    <row r="140" spans="1:17" outlineLevel="1">
      <c r="A140" s="31" t="s">
        <v>65</v>
      </c>
      <c r="B140" s="31" t="s">
        <v>254</v>
      </c>
      <c r="C140" s="96">
        <f>SUM(CAMP!BQ140)</f>
        <v>0</v>
      </c>
      <c r="D140" s="96"/>
      <c r="E140" s="64"/>
      <c r="F140" s="122">
        <f>SUM(OLIVIER!AM140)</f>
        <v>0</v>
      </c>
      <c r="G140" s="122"/>
      <c r="H140" s="64"/>
      <c r="I140" s="102">
        <f>SUM(BUNCHE!BB140)</f>
        <v>0</v>
      </c>
      <c r="J140" s="102"/>
      <c r="K140" s="64"/>
      <c r="L140" s="108">
        <f>SUM(CMO!T140)</f>
        <v>4200</v>
      </c>
      <c r="M140" s="108">
        <v>4611.08</v>
      </c>
      <c r="N140" s="64"/>
      <c r="O140" s="114">
        <f t="shared" si="54"/>
        <v>4200</v>
      </c>
      <c r="P140" s="114">
        <f>SUM(D140+G140+J140+M140)</f>
        <v>4611.08</v>
      </c>
      <c r="Q140" s="64"/>
    </row>
    <row r="141" spans="1:17">
      <c r="B141" s="31" t="s">
        <v>255</v>
      </c>
      <c r="C141" s="94">
        <f>SUM(C137:C140)</f>
        <v>121266.65</v>
      </c>
      <c r="D141" s="94">
        <f>SUM(D137:D140)</f>
        <v>106025.87000000001</v>
      </c>
      <c r="E141" s="64"/>
      <c r="F141" s="120">
        <f>SUM(F137:F140)</f>
        <v>17733.015234375001</v>
      </c>
      <c r="G141" s="120">
        <f>SUM(G137:G140)</f>
        <v>20234.78</v>
      </c>
      <c r="H141" s="64"/>
      <c r="I141" s="100">
        <f>SUM(I137:I140)</f>
        <v>75791.65625</v>
      </c>
      <c r="J141" s="100">
        <f>SUM(J137:J140)</f>
        <v>60354.36</v>
      </c>
      <c r="K141" s="64"/>
      <c r="L141" s="106">
        <f>SUM(L137:L140)</f>
        <v>36271.1</v>
      </c>
      <c r="M141" s="106">
        <f>SUM(M137:M140)</f>
        <v>15194.48</v>
      </c>
      <c r="N141" s="64"/>
      <c r="O141" s="112">
        <f>SUM(O137:O140)</f>
        <v>251062.42148437499</v>
      </c>
      <c r="P141" s="112">
        <f>SUM(P137:P140)</f>
        <v>201809.49000000002</v>
      </c>
      <c r="Q141" s="64"/>
    </row>
    <row r="142" spans="1:17" outlineLevel="1">
      <c r="C142" s="94"/>
      <c r="D142" s="94"/>
      <c r="E142" s="64"/>
      <c r="F142" s="120"/>
      <c r="G142" s="120"/>
      <c r="H142" s="64"/>
      <c r="I142" s="100"/>
      <c r="J142" s="100"/>
      <c r="K142" s="64"/>
      <c r="L142" s="106"/>
      <c r="M142" s="106"/>
      <c r="N142" s="64"/>
      <c r="O142" s="112"/>
      <c r="P142" s="112"/>
      <c r="Q142" s="64"/>
    </row>
    <row r="143" spans="1:17" outlineLevel="1">
      <c r="A143" s="31" t="s">
        <v>256</v>
      </c>
      <c r="C143" s="94"/>
      <c r="D143" s="94"/>
      <c r="E143" s="64"/>
      <c r="F143" s="120"/>
      <c r="G143" s="120"/>
      <c r="H143" s="64"/>
      <c r="I143" s="100"/>
      <c r="J143" s="100"/>
      <c r="K143" s="64"/>
      <c r="L143" s="106"/>
      <c r="M143" s="106"/>
      <c r="N143" s="64"/>
      <c r="O143" s="112"/>
      <c r="P143" s="112"/>
      <c r="Q143" s="64"/>
    </row>
    <row r="144" spans="1:17" outlineLevel="1">
      <c r="A144" s="31" t="s">
        <v>66</v>
      </c>
      <c r="B144" s="31" t="s">
        <v>257</v>
      </c>
      <c r="C144" s="95">
        <f>SUM(CAMP!BQ144)</f>
        <v>956</v>
      </c>
      <c r="D144" s="95">
        <v>3047.96</v>
      </c>
      <c r="E144" s="64"/>
      <c r="F144" s="121">
        <f>SUM(OLIVIER!AM144)</f>
        <v>786</v>
      </c>
      <c r="G144" s="121">
        <v>1523.96</v>
      </c>
      <c r="H144" s="64"/>
      <c r="I144" s="101">
        <f>SUM(BUNCHE!BB144)</f>
        <v>284</v>
      </c>
      <c r="J144" s="101">
        <v>1523.94</v>
      </c>
      <c r="K144" s="64"/>
      <c r="L144" s="107">
        <f>SUM(CMO!T144)</f>
        <v>853</v>
      </c>
      <c r="M144" s="107">
        <v>10729.32</v>
      </c>
      <c r="N144" s="64"/>
      <c r="O144" s="113">
        <f t="shared" ref="O144:O149" si="55">SUM(C144+F144+I144+L144)</f>
        <v>2879</v>
      </c>
      <c r="P144" s="113">
        <f t="shared" ref="P144:P149" si="56">SUM(D144+G144+J144+M144)</f>
        <v>16825.18</v>
      </c>
      <c r="Q144" s="64"/>
    </row>
    <row r="145" spans="1:17" outlineLevel="1">
      <c r="A145" s="31" t="s">
        <v>67</v>
      </c>
      <c r="B145" s="31" t="s">
        <v>258</v>
      </c>
      <c r="C145" s="95">
        <f>SUM(CAMP!BQ145)</f>
        <v>0</v>
      </c>
      <c r="D145" s="95"/>
      <c r="E145" s="64"/>
      <c r="F145" s="121">
        <f>SUM(OLIVIER!AM145)</f>
        <v>0</v>
      </c>
      <c r="G145" s="121"/>
      <c r="H145" s="64"/>
      <c r="I145" s="101">
        <f>SUM(BUNCHE!BB145)</f>
        <v>0</v>
      </c>
      <c r="J145" s="101"/>
      <c r="K145" s="64"/>
      <c r="L145" s="107">
        <f>SUM(CMO!T145)</f>
        <v>0</v>
      </c>
      <c r="M145" s="107"/>
      <c r="N145" s="64"/>
      <c r="O145" s="113">
        <f t="shared" si="55"/>
        <v>0</v>
      </c>
      <c r="P145" s="113">
        <f t="shared" si="56"/>
        <v>0</v>
      </c>
      <c r="Q145" s="64"/>
    </row>
    <row r="146" spans="1:17" outlineLevel="1">
      <c r="A146" s="31" t="s">
        <v>68</v>
      </c>
      <c r="B146" s="31" t="s">
        <v>259</v>
      </c>
      <c r="C146" s="95">
        <f>SUM(CAMP!BQ146)</f>
        <v>8160</v>
      </c>
      <c r="D146" s="95">
        <v>3866.7</v>
      </c>
      <c r="E146" s="64"/>
      <c r="F146" s="121">
        <f>SUM(OLIVIER!AM146)</f>
        <v>6060</v>
      </c>
      <c r="G146" s="121">
        <v>1559.18</v>
      </c>
      <c r="H146" s="64"/>
      <c r="I146" s="101">
        <f>SUM(BUNCHE!BB146)</f>
        <v>8280</v>
      </c>
      <c r="J146" s="101">
        <v>1942.97</v>
      </c>
      <c r="K146" s="64"/>
      <c r="L146" s="107">
        <f>SUM(CMO!T146)</f>
        <v>21660</v>
      </c>
      <c r="M146" s="107">
        <v>11114.49</v>
      </c>
      <c r="N146" s="64"/>
      <c r="O146" s="113">
        <f t="shared" si="55"/>
        <v>44160</v>
      </c>
      <c r="P146" s="113">
        <f t="shared" si="56"/>
        <v>18483.34</v>
      </c>
      <c r="Q146" s="64"/>
    </row>
    <row r="147" spans="1:17" outlineLevel="1">
      <c r="A147" s="31" t="s">
        <v>69</v>
      </c>
      <c r="B147" s="31" t="s">
        <v>260</v>
      </c>
      <c r="C147" s="95">
        <f>SUM(CAMP!BQ147)</f>
        <v>21942</v>
      </c>
      <c r="D147" s="95">
        <v>0</v>
      </c>
      <c r="E147" s="64"/>
      <c r="F147" s="121">
        <f>SUM(OLIVIER!AM147)</f>
        <v>17663</v>
      </c>
      <c r="G147" s="121"/>
      <c r="H147" s="64"/>
      <c r="I147" s="101">
        <f>SUM(BUNCHE!BB147)</f>
        <v>19551</v>
      </c>
      <c r="J147" s="101">
        <v>4500</v>
      </c>
      <c r="K147" s="64"/>
      <c r="L147" s="107">
        <f>SUM(CMO!T147)</f>
        <v>1888</v>
      </c>
      <c r="M147" s="107">
        <v>16610</v>
      </c>
      <c r="N147" s="64"/>
      <c r="O147" s="113">
        <f t="shared" si="55"/>
        <v>61044</v>
      </c>
      <c r="P147" s="113">
        <f t="shared" si="56"/>
        <v>21110</v>
      </c>
      <c r="Q147" s="64"/>
    </row>
    <row r="148" spans="1:17" ht="12" customHeight="1" outlineLevel="1">
      <c r="A148" s="31" t="s">
        <v>70</v>
      </c>
      <c r="B148" s="31" t="s">
        <v>261</v>
      </c>
      <c r="C148" s="95">
        <f>SUM(CAMP!BQ148)</f>
        <v>3600</v>
      </c>
      <c r="D148" s="95">
        <v>2825.69</v>
      </c>
      <c r="E148" s="64"/>
      <c r="F148" s="121">
        <f>SUM(OLIVIER!AM148)</f>
        <v>600</v>
      </c>
      <c r="G148" s="121"/>
      <c r="H148" s="64"/>
      <c r="I148" s="101">
        <f>SUM(BUNCHE!BB148)</f>
        <v>3600</v>
      </c>
      <c r="J148" s="101">
        <v>5480.57</v>
      </c>
      <c r="K148" s="64"/>
      <c r="L148" s="107">
        <f>SUM(CMO!T148)</f>
        <v>8404</v>
      </c>
      <c r="M148" s="107">
        <v>1393.01</v>
      </c>
      <c r="N148" s="64"/>
      <c r="O148" s="113">
        <f t="shared" si="55"/>
        <v>16204</v>
      </c>
      <c r="P148" s="113">
        <f t="shared" si="56"/>
        <v>9699.27</v>
      </c>
      <c r="Q148" s="64"/>
    </row>
    <row r="149" spans="1:17" outlineLevel="1">
      <c r="A149" s="31" t="s">
        <v>425</v>
      </c>
      <c r="B149" s="31" t="s">
        <v>427</v>
      </c>
      <c r="C149" s="96">
        <f>SUM(CAMP!BQ149)</f>
        <v>0</v>
      </c>
      <c r="D149" s="96">
        <v>1800.12</v>
      </c>
      <c r="E149" s="64"/>
      <c r="F149" s="122">
        <f>SUM(OLIVIER!AM149)</f>
        <v>0</v>
      </c>
      <c r="G149" s="122">
        <v>1049.42</v>
      </c>
      <c r="H149" s="64"/>
      <c r="I149" s="102">
        <f>SUM(BUNCHE!BB149)</f>
        <v>30000</v>
      </c>
      <c r="J149" s="102">
        <v>12167.42</v>
      </c>
      <c r="K149" s="64"/>
      <c r="L149" s="108">
        <f>SUM(CMO!T149)</f>
        <v>36365</v>
      </c>
      <c r="M149" s="108">
        <v>2593.65</v>
      </c>
      <c r="N149" s="64"/>
      <c r="O149" s="114">
        <f t="shared" si="55"/>
        <v>66365</v>
      </c>
      <c r="P149" s="114">
        <f t="shared" si="56"/>
        <v>17610.61</v>
      </c>
      <c r="Q149" s="64"/>
    </row>
    <row r="150" spans="1:17">
      <c r="B150" s="31" t="s">
        <v>262</v>
      </c>
      <c r="C150" s="94">
        <f>SUM(C144:C149)</f>
        <v>34658</v>
      </c>
      <c r="D150" s="94">
        <f>SUM(D144:D149)</f>
        <v>11540.470000000001</v>
      </c>
      <c r="E150" s="64"/>
      <c r="F150" s="120">
        <f>SUM(F144:F149)</f>
        <v>25109</v>
      </c>
      <c r="G150" s="120">
        <f>SUM(G144:G149)</f>
        <v>4132.5600000000004</v>
      </c>
      <c r="H150" s="64"/>
      <c r="I150" s="100">
        <f>SUM(I144:I149)</f>
        <v>61715</v>
      </c>
      <c r="J150" s="100">
        <f>SUM(J144:J149)</f>
        <v>25614.9</v>
      </c>
      <c r="K150" s="64"/>
      <c r="L150" s="106">
        <f>SUM(L144:L149)</f>
        <v>69170</v>
      </c>
      <c r="M150" s="106">
        <f>SUM(M144:M149)</f>
        <v>42440.47</v>
      </c>
      <c r="N150" s="64"/>
      <c r="O150" s="112">
        <f>SUM(O144:O149)</f>
        <v>190652</v>
      </c>
      <c r="P150" s="112">
        <f>SUM(P144:P149)</f>
        <v>83728.400000000009</v>
      </c>
      <c r="Q150" s="64"/>
    </row>
    <row r="151" spans="1:17" outlineLevel="1">
      <c r="C151" s="94"/>
      <c r="D151" s="94"/>
      <c r="E151" s="64"/>
      <c r="F151" s="120"/>
      <c r="G151" s="120"/>
      <c r="H151" s="64"/>
      <c r="I151" s="100"/>
      <c r="J151" s="100"/>
      <c r="K151" s="64"/>
      <c r="L151" s="106"/>
      <c r="M151" s="106"/>
      <c r="N151" s="64"/>
      <c r="O151" s="112"/>
      <c r="P151" s="112"/>
      <c r="Q151" s="64"/>
    </row>
    <row r="152" spans="1:17" outlineLevel="1">
      <c r="A152" s="31" t="s">
        <v>263</v>
      </c>
      <c r="C152" s="94"/>
      <c r="D152" s="94"/>
      <c r="E152" s="64"/>
      <c r="F152" s="120"/>
      <c r="G152" s="120"/>
      <c r="H152" s="64"/>
      <c r="I152" s="100"/>
      <c r="J152" s="100"/>
      <c r="K152" s="64"/>
      <c r="L152" s="106"/>
      <c r="M152" s="106"/>
      <c r="N152" s="64"/>
      <c r="O152" s="112"/>
      <c r="P152" s="112"/>
      <c r="Q152" s="64"/>
    </row>
    <row r="153" spans="1:17" outlineLevel="1">
      <c r="A153" s="31" t="s">
        <v>264</v>
      </c>
      <c r="C153" s="94"/>
      <c r="D153" s="94"/>
      <c r="E153" s="64"/>
      <c r="F153" s="120"/>
      <c r="G153" s="120"/>
      <c r="H153" s="64"/>
      <c r="I153" s="100"/>
      <c r="J153" s="100"/>
      <c r="K153" s="64"/>
      <c r="L153" s="106"/>
      <c r="M153" s="106"/>
      <c r="N153" s="64"/>
      <c r="O153" s="112"/>
      <c r="P153" s="112"/>
      <c r="Q153" s="64"/>
    </row>
    <row r="154" spans="1:17" outlineLevel="1">
      <c r="A154" s="31" t="s">
        <v>71</v>
      </c>
      <c r="B154" s="31" t="s">
        <v>72</v>
      </c>
      <c r="C154" s="96">
        <f>SUM(CAMP!BQ154)</f>
        <v>10000</v>
      </c>
      <c r="D154" s="96">
        <v>14061.41</v>
      </c>
      <c r="E154" s="64"/>
      <c r="F154" s="122">
        <f>SUM(OLIVIER!AM154)</f>
        <v>6650</v>
      </c>
      <c r="G154" s="122">
        <v>735.11</v>
      </c>
      <c r="H154" s="64"/>
      <c r="I154" s="102">
        <f>SUM(BUNCHE!BB154)</f>
        <v>5550</v>
      </c>
      <c r="J154" s="102">
        <v>8612.76</v>
      </c>
      <c r="K154" s="64"/>
      <c r="L154" s="108">
        <f>SUM(CMO!T154)</f>
        <v>33000</v>
      </c>
      <c r="M154" s="108">
        <v>18629.669999999998</v>
      </c>
      <c r="N154" s="64"/>
      <c r="O154" s="114">
        <f t="shared" ref="O154" si="57">SUM(C154+F154+I154+L154)</f>
        <v>55200</v>
      </c>
      <c r="P154" s="114">
        <f>SUM(D154+G154+J154+M154)</f>
        <v>42038.95</v>
      </c>
      <c r="Q154" s="64"/>
    </row>
    <row r="155" spans="1:17">
      <c r="B155" s="31" t="s">
        <v>265</v>
      </c>
      <c r="C155" s="94">
        <f>SUM(C154)</f>
        <v>10000</v>
      </c>
      <c r="D155" s="94">
        <f>SUM(D154)</f>
        <v>14061.41</v>
      </c>
      <c r="E155" s="64"/>
      <c r="F155" s="120">
        <f>SUM(F154)</f>
        <v>6650</v>
      </c>
      <c r="G155" s="120">
        <f>SUM(G154)</f>
        <v>735.11</v>
      </c>
      <c r="H155" s="64"/>
      <c r="I155" s="100">
        <f>SUM(I154)</f>
        <v>5550</v>
      </c>
      <c r="J155" s="100">
        <f>SUM(J154)</f>
        <v>8612.76</v>
      </c>
      <c r="K155" s="64"/>
      <c r="L155" s="106">
        <f>SUM(L154)</f>
        <v>33000</v>
      </c>
      <c r="M155" s="106">
        <f>SUM(M154)</f>
        <v>18629.669999999998</v>
      </c>
      <c r="N155" s="64"/>
      <c r="O155" s="112">
        <f>SUM(O154)</f>
        <v>55200</v>
      </c>
      <c r="P155" s="112">
        <f>SUM(P154)</f>
        <v>42038.95</v>
      </c>
      <c r="Q155" s="64"/>
    </row>
    <row r="156" spans="1:17" outlineLevel="1">
      <c r="C156" s="94"/>
      <c r="D156" s="94"/>
      <c r="E156" s="64"/>
      <c r="F156" s="120"/>
      <c r="G156" s="120"/>
      <c r="H156" s="64"/>
      <c r="I156" s="100"/>
      <c r="J156" s="100"/>
      <c r="K156" s="64"/>
      <c r="L156" s="106"/>
      <c r="M156" s="106"/>
      <c r="N156" s="64"/>
      <c r="O156" s="112"/>
      <c r="P156" s="112"/>
      <c r="Q156" s="64"/>
    </row>
    <row r="157" spans="1:17" outlineLevel="1">
      <c r="A157" s="31" t="s">
        <v>266</v>
      </c>
      <c r="C157" s="94"/>
      <c r="D157" s="94"/>
      <c r="E157" s="64"/>
      <c r="F157" s="120"/>
      <c r="G157" s="120"/>
      <c r="H157" s="64"/>
      <c r="I157" s="100"/>
      <c r="J157" s="100"/>
      <c r="K157" s="64"/>
      <c r="L157" s="106"/>
      <c r="M157" s="106"/>
      <c r="N157" s="64"/>
      <c r="O157" s="112"/>
      <c r="P157" s="112"/>
      <c r="Q157" s="64"/>
    </row>
    <row r="158" spans="1:17" outlineLevel="1">
      <c r="A158" s="31" t="s">
        <v>73</v>
      </c>
      <c r="B158" s="31" t="s">
        <v>74</v>
      </c>
      <c r="C158" s="95">
        <f>SUM(CAMP!BQ158)</f>
        <v>137283.16326530612</v>
      </c>
      <c r="D158" s="95">
        <v>203726.6</v>
      </c>
      <c r="E158" s="64"/>
      <c r="F158" s="121">
        <f>SUM(OLIVIER!AM158)</f>
        <v>98809.367346938772</v>
      </c>
      <c r="G158" s="121">
        <v>71301.539999999994</v>
      </c>
      <c r="H158" s="64"/>
      <c r="I158" s="101">
        <f>SUM(BUNCHE!BB158)</f>
        <v>135580.10204081633</v>
      </c>
      <c r="J158" s="101">
        <v>236276.59</v>
      </c>
      <c r="K158" s="64"/>
      <c r="L158" s="107">
        <f>SUM(CMO!T158)</f>
        <v>50050</v>
      </c>
      <c r="M158" s="107">
        <v>23444.49</v>
      </c>
      <c r="N158" s="64"/>
      <c r="O158" s="113">
        <f t="shared" ref="O158:O170" si="58">SUM(C158+F158+I158+L158)</f>
        <v>421722.63265306124</v>
      </c>
      <c r="P158" s="113">
        <f t="shared" ref="P158:P170" si="59">SUM(D158+G158+J158+M158)</f>
        <v>534749.22</v>
      </c>
      <c r="Q158" s="64"/>
    </row>
    <row r="159" spans="1:17" outlineLevel="1">
      <c r="A159" s="31" t="s">
        <v>75</v>
      </c>
      <c r="B159" s="31" t="s">
        <v>154</v>
      </c>
      <c r="C159" s="95">
        <f>SUM(CAMP!BQ159)</f>
        <v>19988</v>
      </c>
      <c r="D159" s="95">
        <f>412.5+12283.16</f>
        <v>12695.66</v>
      </c>
      <c r="E159" s="64"/>
      <c r="F159" s="121">
        <f>SUM(OLIVIER!AM159)</f>
        <v>8511</v>
      </c>
      <c r="G159" s="121">
        <v>4018.53</v>
      </c>
      <c r="H159" s="64"/>
      <c r="I159" s="101">
        <f>SUM(BUNCHE!BB159)</f>
        <v>6368</v>
      </c>
      <c r="J159" s="101">
        <v>8277.33</v>
      </c>
      <c r="K159" s="64"/>
      <c r="L159" s="107">
        <f>SUM(CMO!T159)</f>
        <v>24457</v>
      </c>
      <c r="M159" s="107">
        <v>6664.98</v>
      </c>
      <c r="N159" s="64"/>
      <c r="O159" s="113">
        <f t="shared" si="58"/>
        <v>59324</v>
      </c>
      <c r="P159" s="113">
        <f t="shared" si="59"/>
        <v>31656.499999999996</v>
      </c>
      <c r="Q159" s="64"/>
    </row>
    <row r="160" spans="1:17" outlineLevel="1">
      <c r="A160" s="31" t="s">
        <v>442</v>
      </c>
      <c r="B160" s="31" t="s">
        <v>97</v>
      </c>
      <c r="C160" s="95">
        <f>SUM(CAMP!BQ160)</f>
        <v>28000</v>
      </c>
      <c r="D160" s="95">
        <v>6532.56</v>
      </c>
      <c r="E160" s="64"/>
      <c r="F160" s="121">
        <f>SUM(OLIVIER!AM160)</f>
        <v>18000</v>
      </c>
      <c r="G160" s="121">
        <v>11060.6</v>
      </c>
      <c r="H160" s="64"/>
      <c r="I160" s="101">
        <f>SUM(BUNCHE!BB160)</f>
        <v>152700</v>
      </c>
      <c r="J160" s="101">
        <v>7203.98</v>
      </c>
      <c r="K160" s="64"/>
      <c r="L160" s="107">
        <f>SUM(CMO!T160)</f>
        <v>2850</v>
      </c>
      <c r="M160" s="107">
        <v>2975.63</v>
      </c>
      <c r="N160" s="64"/>
      <c r="O160" s="113">
        <f t="shared" si="58"/>
        <v>201550</v>
      </c>
      <c r="P160" s="113">
        <f t="shared" si="59"/>
        <v>27772.77</v>
      </c>
      <c r="Q160" s="64"/>
    </row>
    <row r="161" spans="1:17" outlineLevel="1">
      <c r="A161" s="31" t="s">
        <v>443</v>
      </c>
      <c r="B161" s="31" t="s">
        <v>421</v>
      </c>
      <c r="C161" s="95">
        <f>SUM(CAMP!BQ161)</f>
        <v>12029</v>
      </c>
      <c r="D161" s="95">
        <v>1732.37</v>
      </c>
      <c r="E161" s="64"/>
      <c r="F161" s="121">
        <f>SUM(OLIVIER!AM161)</f>
        <v>3138</v>
      </c>
      <c r="G161" s="121">
        <v>2527.5500000000002</v>
      </c>
      <c r="H161" s="64"/>
      <c r="I161" s="101">
        <f>SUM(BUNCHE!BB161)</f>
        <v>12141</v>
      </c>
      <c r="J161" s="101">
        <v>3615.99</v>
      </c>
      <c r="K161" s="64"/>
      <c r="L161" s="107">
        <f>SUM(CMO!T161)</f>
        <v>4123</v>
      </c>
      <c r="M161" s="107">
        <v>4544.76</v>
      </c>
      <c r="N161" s="64"/>
      <c r="O161" s="113">
        <f t="shared" si="58"/>
        <v>31431</v>
      </c>
      <c r="P161" s="113">
        <f t="shared" si="59"/>
        <v>12420.67</v>
      </c>
      <c r="Q161" s="64"/>
    </row>
    <row r="162" spans="1:17" outlineLevel="1">
      <c r="A162" s="31" t="s">
        <v>444</v>
      </c>
      <c r="B162" s="31" t="s">
        <v>423</v>
      </c>
      <c r="C162" s="95">
        <f>SUM(CAMP!BQ162)</f>
        <v>125312</v>
      </c>
      <c r="D162" s="95">
        <v>98365.34</v>
      </c>
      <c r="E162" s="64"/>
      <c r="F162" s="121">
        <f>SUM(OLIVIER!AM162)</f>
        <v>53952</v>
      </c>
      <c r="G162" s="121">
        <v>27834.45</v>
      </c>
      <c r="H162" s="64"/>
      <c r="I162" s="101">
        <f>SUM(BUNCHE!BB162)</f>
        <v>91160</v>
      </c>
      <c r="J162" s="101">
        <v>67806.289999999994</v>
      </c>
      <c r="K162" s="64"/>
      <c r="L162" s="107">
        <f>SUM(CMO!T162)</f>
        <v>26840</v>
      </c>
      <c r="M162" s="107">
        <v>36719.980000000003</v>
      </c>
      <c r="N162" s="64"/>
      <c r="O162" s="113">
        <f t="shared" si="58"/>
        <v>297264</v>
      </c>
      <c r="P162" s="113">
        <f t="shared" si="59"/>
        <v>230726.06</v>
      </c>
      <c r="Q162" s="64"/>
    </row>
    <row r="163" spans="1:17" outlineLevel="1">
      <c r="A163" s="31" t="s">
        <v>445</v>
      </c>
      <c r="B163" s="31" t="s">
        <v>416</v>
      </c>
      <c r="C163" s="95">
        <f>SUM(CAMP!BQ163)</f>
        <v>0</v>
      </c>
      <c r="D163" s="95">
        <v>75</v>
      </c>
      <c r="E163" s="64"/>
      <c r="F163" s="121">
        <f>SUM(OLIVIER!AM163)</f>
        <v>0</v>
      </c>
      <c r="G163" s="121">
        <v>0</v>
      </c>
      <c r="H163" s="64"/>
      <c r="I163" s="101">
        <f>SUM(BUNCHE!BB163)</f>
        <v>0</v>
      </c>
      <c r="J163" s="101">
        <v>29.16</v>
      </c>
      <c r="K163" s="64"/>
      <c r="L163" s="107">
        <f>SUM(CMO!T163)</f>
        <v>8500</v>
      </c>
      <c r="M163" s="107">
        <v>1997.04</v>
      </c>
      <c r="N163" s="64"/>
      <c r="O163" s="113">
        <f t="shared" si="58"/>
        <v>8500</v>
      </c>
      <c r="P163" s="113">
        <f t="shared" si="59"/>
        <v>2101.1999999999998</v>
      </c>
      <c r="Q163" s="64"/>
    </row>
    <row r="164" spans="1:17" outlineLevel="1">
      <c r="A164" s="31" t="s">
        <v>76</v>
      </c>
      <c r="B164" s="31" t="s">
        <v>155</v>
      </c>
      <c r="C164" s="95">
        <f>SUM(CAMP!BQ164)</f>
        <v>157328</v>
      </c>
      <c r="D164" s="95">
        <v>127216.79</v>
      </c>
      <c r="E164" s="64"/>
      <c r="F164" s="121">
        <f>SUM(OLIVIER!AM164)</f>
        <v>53068</v>
      </c>
      <c r="G164" s="121">
        <v>34833.86</v>
      </c>
      <c r="H164" s="64"/>
      <c r="I164" s="101">
        <f>SUM(BUNCHE!BB164)</f>
        <v>96580</v>
      </c>
      <c r="J164" s="101">
        <v>129352.09</v>
      </c>
      <c r="K164" s="64"/>
      <c r="L164" s="107">
        <f>SUM(CMO!T164)</f>
        <v>0</v>
      </c>
      <c r="M164" s="107">
        <v>19875.060000000001</v>
      </c>
      <c r="N164" s="64"/>
      <c r="O164" s="113">
        <f t="shared" si="58"/>
        <v>306976</v>
      </c>
      <c r="P164" s="113">
        <f t="shared" si="59"/>
        <v>311277.8</v>
      </c>
      <c r="Q164" s="64"/>
    </row>
    <row r="165" spans="1:17" outlineLevel="1">
      <c r="A165" s="31" t="s">
        <v>79</v>
      </c>
      <c r="B165" s="31" t="s">
        <v>156</v>
      </c>
      <c r="C165" s="95">
        <f>SUM(CAMP!BQ165)</f>
        <v>3809.5238095238096</v>
      </c>
      <c r="D165" s="95"/>
      <c r="E165" s="64"/>
      <c r="F165" s="121">
        <f>SUM(OLIVIER!AM165)</f>
        <v>1279.7619047619048</v>
      </c>
      <c r="G165" s="121"/>
      <c r="H165" s="64"/>
      <c r="I165" s="101">
        <f>SUM(BUNCHE!BB165)</f>
        <v>2380.9523809523812</v>
      </c>
      <c r="J165" s="101">
        <v>0</v>
      </c>
      <c r="K165" s="64"/>
      <c r="L165" s="107">
        <f>SUM(CMO!T165)</f>
        <v>0</v>
      </c>
      <c r="M165" s="107"/>
      <c r="N165" s="64"/>
      <c r="O165" s="113">
        <f t="shared" si="58"/>
        <v>7470.2380952380954</v>
      </c>
      <c r="P165" s="113">
        <f t="shared" si="59"/>
        <v>0</v>
      </c>
      <c r="Q165" s="64"/>
    </row>
    <row r="166" spans="1:17" outlineLevel="1">
      <c r="A166" s="31" t="s">
        <v>78</v>
      </c>
      <c r="B166" s="31" t="s">
        <v>157</v>
      </c>
      <c r="C166" s="95">
        <f>SUM(CAMP!BQ166)</f>
        <v>1088.4353741496598</v>
      </c>
      <c r="D166" s="95"/>
      <c r="E166" s="64"/>
      <c r="F166" s="121">
        <f>SUM(OLIVIER!AM166)</f>
        <v>365.64625850340133</v>
      </c>
      <c r="G166" s="121"/>
      <c r="H166" s="64"/>
      <c r="I166" s="101">
        <f>SUM(BUNCHE!BB166)</f>
        <v>680.27210884353735</v>
      </c>
      <c r="J166" s="101">
        <v>0</v>
      </c>
      <c r="K166" s="64"/>
      <c r="L166" s="107">
        <f>SUM(CMO!T166)</f>
        <v>0</v>
      </c>
      <c r="M166" s="107"/>
      <c r="N166" s="64"/>
      <c r="O166" s="113">
        <f t="shared" si="58"/>
        <v>2134.3537414965986</v>
      </c>
      <c r="P166" s="113">
        <f t="shared" si="59"/>
        <v>0</v>
      </c>
      <c r="Q166" s="64"/>
    </row>
    <row r="167" spans="1:17" outlineLevel="1">
      <c r="A167" s="31" t="s">
        <v>77</v>
      </c>
      <c r="B167" s="31" t="s">
        <v>158</v>
      </c>
      <c r="C167" s="95">
        <f>SUM(CAMP!BQ167)</f>
        <v>64000</v>
      </c>
      <c r="D167" s="95">
        <v>50000</v>
      </c>
      <c r="E167" s="64"/>
      <c r="F167" s="121">
        <f>SUM(OLIVIER!AM167)</f>
        <v>35000</v>
      </c>
      <c r="G167" s="121">
        <v>18000</v>
      </c>
      <c r="H167" s="64"/>
      <c r="I167" s="101">
        <f>SUM(BUNCHE!BB167)</f>
        <v>102000</v>
      </c>
      <c r="J167" s="101">
        <v>92000</v>
      </c>
      <c r="K167" s="64"/>
      <c r="L167" s="107">
        <f>SUM(CMO!T167)</f>
        <v>0</v>
      </c>
      <c r="M167" s="107"/>
      <c r="N167" s="64"/>
      <c r="O167" s="113">
        <f t="shared" si="58"/>
        <v>201000</v>
      </c>
      <c r="P167" s="113">
        <f t="shared" si="59"/>
        <v>160000</v>
      </c>
      <c r="Q167" s="64"/>
    </row>
    <row r="168" spans="1:17" outlineLevel="1">
      <c r="A168" s="31" t="s">
        <v>80</v>
      </c>
      <c r="B168" s="31" t="s">
        <v>159</v>
      </c>
      <c r="C168" s="95">
        <f>SUM(CAMP!BQ168)</f>
        <v>32000</v>
      </c>
      <c r="D168" s="95">
        <v>28827.16</v>
      </c>
      <c r="E168" s="64"/>
      <c r="F168" s="121">
        <f>SUM(OLIVIER!AM168)</f>
        <v>45000</v>
      </c>
      <c r="G168" s="121">
        <v>10136.879999999999</v>
      </c>
      <c r="H168" s="64"/>
      <c r="I168" s="101">
        <f>SUM(BUNCHE!BB168)</f>
        <v>36000</v>
      </c>
      <c r="J168" s="101">
        <v>0</v>
      </c>
      <c r="K168" s="64"/>
      <c r="L168" s="107">
        <f>SUM(CMO!T168)</f>
        <v>0</v>
      </c>
      <c r="M168" s="107"/>
      <c r="N168" s="64"/>
      <c r="O168" s="113">
        <f t="shared" si="58"/>
        <v>113000</v>
      </c>
      <c r="P168" s="113">
        <f t="shared" si="59"/>
        <v>38964.04</v>
      </c>
      <c r="Q168" s="64"/>
    </row>
    <row r="169" spans="1:17" outlineLevel="1">
      <c r="A169" s="31" t="s">
        <v>81</v>
      </c>
      <c r="B169" s="31" t="s">
        <v>160</v>
      </c>
      <c r="C169" s="95">
        <f>SUM(CAMP!BQ169)</f>
        <v>2324</v>
      </c>
      <c r="D169" s="95"/>
      <c r="E169" s="64"/>
      <c r="F169" s="121">
        <f>SUM(OLIVIER!AM169)</f>
        <v>2324</v>
      </c>
      <c r="G169" s="121"/>
      <c r="H169" s="64"/>
      <c r="I169" s="101">
        <f>SUM(BUNCHE!BB169)</f>
        <v>2324</v>
      </c>
      <c r="J169" s="101">
        <v>0</v>
      </c>
      <c r="K169" s="64"/>
      <c r="L169" s="107">
        <f>SUM(CMO!T169)</f>
        <v>1300</v>
      </c>
      <c r="M169" s="107"/>
      <c r="N169" s="64"/>
      <c r="O169" s="113">
        <f t="shared" si="58"/>
        <v>8272</v>
      </c>
      <c r="P169" s="113">
        <f t="shared" si="59"/>
        <v>0</v>
      </c>
      <c r="Q169" s="64"/>
    </row>
    <row r="170" spans="1:17" outlineLevel="1">
      <c r="A170" s="31" t="s">
        <v>161</v>
      </c>
      <c r="B170" s="31" t="s">
        <v>162</v>
      </c>
      <c r="C170" s="96">
        <f>SUM(CAMP!BQ170)</f>
        <v>2250</v>
      </c>
      <c r="D170" s="96">
        <v>2856.09</v>
      </c>
      <c r="E170" s="64"/>
      <c r="F170" s="122">
        <f>SUM(OLIVIER!AM170)</f>
        <v>35000</v>
      </c>
      <c r="G170" s="122"/>
      <c r="H170" s="64"/>
      <c r="I170" s="102">
        <f>SUM(BUNCHE!BB170)</f>
        <v>7250</v>
      </c>
      <c r="J170" s="102">
        <v>0</v>
      </c>
      <c r="K170" s="64"/>
      <c r="L170" s="108">
        <f>SUM(CMO!T170)</f>
        <v>8000</v>
      </c>
      <c r="M170" s="108"/>
      <c r="N170" s="64"/>
      <c r="O170" s="114">
        <f t="shared" si="58"/>
        <v>52500</v>
      </c>
      <c r="P170" s="114">
        <f t="shared" si="59"/>
        <v>2856.09</v>
      </c>
      <c r="Q170" s="64"/>
    </row>
    <row r="171" spans="1:17">
      <c r="B171" s="31" t="s">
        <v>163</v>
      </c>
      <c r="C171" s="94">
        <f>SUM(C158:C170)</f>
        <v>585412.12244897964</v>
      </c>
      <c r="D171" s="94">
        <f>SUM(D158:D170)</f>
        <v>532027.56999999995</v>
      </c>
      <c r="E171" s="64"/>
      <c r="F171" s="120">
        <f>SUM(F158:F170)</f>
        <v>354447.77551020402</v>
      </c>
      <c r="G171" s="120">
        <f>SUM(G158:G170)</f>
        <v>179713.41</v>
      </c>
      <c r="H171" s="64"/>
      <c r="I171" s="100">
        <f>SUM(I158:I170)</f>
        <v>645164.32653061231</v>
      </c>
      <c r="J171" s="100">
        <f>SUM(J158:J170)</f>
        <v>544561.42999999993</v>
      </c>
      <c r="K171" s="64"/>
      <c r="L171" s="106">
        <f>SUM(L158:L170)</f>
        <v>126120</v>
      </c>
      <c r="M171" s="106">
        <f>SUM(M158:M170)</f>
        <v>96221.939999999988</v>
      </c>
      <c r="N171" s="64"/>
      <c r="O171" s="112">
        <f>SUM(O158:O170)</f>
        <v>1711144.224489796</v>
      </c>
      <c r="P171" s="112">
        <f>SUM(P158:P170)</f>
        <v>1352524.35</v>
      </c>
      <c r="Q171" s="64"/>
    </row>
    <row r="172" spans="1:17" outlineLevel="1">
      <c r="C172" s="94"/>
      <c r="D172" s="94"/>
      <c r="E172" s="64"/>
      <c r="F172" s="120"/>
      <c r="G172" s="120"/>
      <c r="H172" s="64"/>
      <c r="I172" s="100"/>
      <c r="J172" s="100"/>
      <c r="K172" s="64"/>
      <c r="L172" s="106"/>
      <c r="M172" s="106"/>
      <c r="N172" s="64"/>
      <c r="O172" s="112"/>
      <c r="P172" s="112"/>
      <c r="Q172" s="64"/>
    </row>
    <row r="173" spans="1:17" outlineLevel="1">
      <c r="A173" s="31" t="s">
        <v>164</v>
      </c>
      <c r="C173" s="94"/>
      <c r="D173" s="94"/>
      <c r="E173" s="64"/>
      <c r="F173" s="120"/>
      <c r="G173" s="120"/>
      <c r="H173" s="64"/>
      <c r="I173" s="100"/>
      <c r="J173" s="100"/>
      <c r="K173" s="64"/>
      <c r="L173" s="106"/>
      <c r="M173" s="106"/>
      <c r="N173" s="64"/>
      <c r="O173" s="112"/>
      <c r="P173" s="112"/>
      <c r="Q173" s="64"/>
    </row>
    <row r="174" spans="1:17" outlineLevel="1">
      <c r="A174" s="31" t="s">
        <v>165</v>
      </c>
      <c r="C174" s="94"/>
      <c r="D174" s="94"/>
      <c r="E174" s="64"/>
      <c r="F174" s="120"/>
      <c r="G174" s="120"/>
      <c r="H174" s="64"/>
      <c r="I174" s="100"/>
      <c r="J174" s="100"/>
      <c r="K174" s="64"/>
      <c r="L174" s="106"/>
      <c r="M174" s="106"/>
      <c r="N174" s="64"/>
      <c r="O174" s="112"/>
      <c r="P174" s="112"/>
      <c r="Q174" s="64"/>
    </row>
    <row r="175" spans="1:17" outlineLevel="1">
      <c r="A175" s="31" t="s">
        <v>86</v>
      </c>
      <c r="B175" s="31" t="s">
        <v>85</v>
      </c>
      <c r="C175" s="95">
        <f>SUM(CAMP!BQ175)</f>
        <v>893421</v>
      </c>
      <c r="D175" s="95">
        <f>1711.5+848687.99</f>
        <v>850399.49</v>
      </c>
      <c r="E175" s="64"/>
      <c r="F175" s="121">
        <f>SUM(OLIVIER!AM175)</f>
        <v>302087.25</v>
      </c>
      <c r="G175" s="121">
        <f>990.32+199378.01</f>
        <v>200368.33000000002</v>
      </c>
      <c r="H175" s="64"/>
      <c r="I175" s="101">
        <f>SUM(BUNCHE!BB175)</f>
        <v>658492.5</v>
      </c>
      <c r="J175" s="101">
        <v>475135.8</v>
      </c>
      <c r="K175" s="64"/>
      <c r="L175" s="107">
        <f>SUM(CMO!T175)</f>
        <v>56370</v>
      </c>
      <c r="M175" s="107">
        <v>47846.25</v>
      </c>
      <c r="N175" s="64"/>
      <c r="O175" s="113">
        <f t="shared" ref="O175:O185" si="60">SUM(C175+F175+I175+L175)</f>
        <v>1910370.75</v>
      </c>
      <c r="P175" s="113">
        <f t="shared" ref="P175:P185" si="61">SUM(D175+G175+J175+M175)</f>
        <v>1573749.87</v>
      </c>
      <c r="Q175" s="64"/>
    </row>
    <row r="176" spans="1:17" outlineLevel="1">
      <c r="A176" s="31" t="s">
        <v>91</v>
      </c>
      <c r="B176" s="31" t="s">
        <v>92</v>
      </c>
      <c r="C176" s="95">
        <f>SUM(CAMP!BQ176)</f>
        <v>210000</v>
      </c>
      <c r="D176" s="95">
        <v>16249.88</v>
      </c>
      <c r="E176" s="64"/>
      <c r="F176" s="121">
        <f>SUM(OLIVIER!AM176)</f>
        <v>0</v>
      </c>
      <c r="G176" s="121">
        <v>34879.1</v>
      </c>
      <c r="H176" s="64"/>
      <c r="I176" s="101">
        <f>SUM(BUNCHE!BB176)</f>
        <v>0</v>
      </c>
      <c r="J176" s="101">
        <v>847.46</v>
      </c>
      <c r="K176" s="64"/>
      <c r="L176" s="107">
        <f>SUM(CMO!T176)</f>
        <v>0</v>
      </c>
      <c r="M176" s="107">
        <f>27367.5+22145.09</f>
        <v>49512.59</v>
      </c>
      <c r="N176" s="64"/>
      <c r="O176" s="113">
        <f t="shared" si="60"/>
        <v>210000</v>
      </c>
      <c r="P176" s="113">
        <f t="shared" si="61"/>
        <v>101489.03</v>
      </c>
      <c r="Q176" s="64"/>
    </row>
    <row r="177" spans="1:17" outlineLevel="1">
      <c r="A177" s="31" t="s">
        <v>93</v>
      </c>
      <c r="B177" s="31" t="s">
        <v>94</v>
      </c>
      <c r="C177" s="95">
        <f>SUM(CAMP!BQ177)</f>
        <v>0</v>
      </c>
      <c r="D177" s="95"/>
      <c r="E177" s="64"/>
      <c r="F177" s="121">
        <f>SUM(OLIVIER!AM177)</f>
        <v>0</v>
      </c>
      <c r="G177" s="121"/>
      <c r="H177" s="64"/>
      <c r="I177" s="101">
        <f>SUM(BUNCHE!BB177)</f>
        <v>30000</v>
      </c>
      <c r="J177" s="101"/>
      <c r="K177" s="64"/>
      <c r="L177" s="107">
        <f>SUM(CMO!T177)</f>
        <v>0</v>
      </c>
      <c r="M177" s="107"/>
      <c r="N177" s="64"/>
      <c r="O177" s="113">
        <f t="shared" si="60"/>
        <v>30000</v>
      </c>
      <c r="P177" s="113">
        <f t="shared" si="61"/>
        <v>0</v>
      </c>
      <c r="Q177" s="64"/>
    </row>
    <row r="178" spans="1:17" outlineLevel="1">
      <c r="A178" s="31" t="s">
        <v>95</v>
      </c>
      <c r="B178" s="31" t="s">
        <v>405</v>
      </c>
      <c r="C178" s="95">
        <f>SUM(CAMP!BQ178)</f>
        <v>0</v>
      </c>
      <c r="D178" s="95"/>
      <c r="E178" s="64"/>
      <c r="F178" s="121">
        <f>SUM(OLIVIER!AM178)</f>
        <v>0</v>
      </c>
      <c r="G178" s="121"/>
      <c r="H178" s="64"/>
      <c r="I178" s="101">
        <f>SUM(BUNCHE!BB178)</f>
        <v>51500</v>
      </c>
      <c r="J178" s="101"/>
      <c r="K178" s="64"/>
      <c r="L178" s="107">
        <f>SUM(CMO!T178)</f>
        <v>0</v>
      </c>
      <c r="M178" s="107"/>
      <c r="N178" s="64"/>
      <c r="O178" s="113">
        <f t="shared" si="60"/>
        <v>51500</v>
      </c>
      <c r="P178" s="113">
        <f t="shared" si="61"/>
        <v>0</v>
      </c>
      <c r="Q178" s="64"/>
    </row>
    <row r="179" spans="1:17" outlineLevel="1">
      <c r="A179" s="31" t="s">
        <v>96</v>
      </c>
      <c r="B179" s="31" t="s">
        <v>404</v>
      </c>
      <c r="C179" s="95">
        <f>SUM(CAMP!BQ179)</f>
        <v>35000</v>
      </c>
      <c r="D179" s="95"/>
      <c r="E179" s="64"/>
      <c r="F179" s="121">
        <f>SUM(OLIVIER!AM179)</f>
        <v>0</v>
      </c>
      <c r="G179" s="121"/>
      <c r="H179" s="64"/>
      <c r="I179" s="101">
        <f>SUM(BUNCHE!BB179)</f>
        <v>15000</v>
      </c>
      <c r="J179" s="101"/>
      <c r="K179" s="64"/>
      <c r="L179" s="107">
        <f>SUM(CMO!T179)</f>
        <v>50000</v>
      </c>
      <c r="M179" s="107"/>
      <c r="N179" s="64"/>
      <c r="O179" s="113">
        <f t="shared" si="60"/>
        <v>100000</v>
      </c>
      <c r="P179" s="113">
        <f t="shared" si="61"/>
        <v>0</v>
      </c>
      <c r="Q179" s="64"/>
    </row>
    <row r="180" spans="1:17" outlineLevel="1">
      <c r="A180" s="31" t="s">
        <v>98</v>
      </c>
      <c r="B180" s="31" t="s">
        <v>99</v>
      </c>
      <c r="C180" s="95">
        <f>SUM(CAMP!BQ180)</f>
        <v>0</v>
      </c>
      <c r="D180" s="95"/>
      <c r="E180" s="64"/>
      <c r="F180" s="121">
        <f>SUM(OLIVIER!AM180)</f>
        <v>0</v>
      </c>
      <c r="G180" s="121"/>
      <c r="H180" s="64"/>
      <c r="I180" s="101">
        <f>SUM(BUNCHE!BB180)</f>
        <v>0</v>
      </c>
      <c r="J180" s="101"/>
      <c r="K180" s="64"/>
      <c r="L180" s="107">
        <f>SUM(CMO!T180)</f>
        <v>0</v>
      </c>
      <c r="M180" s="107"/>
      <c r="N180" s="64"/>
      <c r="O180" s="113">
        <f t="shared" si="60"/>
        <v>0</v>
      </c>
      <c r="P180" s="113">
        <f t="shared" si="61"/>
        <v>0</v>
      </c>
      <c r="Q180" s="64"/>
    </row>
    <row r="181" spans="1:17" outlineLevel="1">
      <c r="A181" s="31" t="s">
        <v>100</v>
      </c>
      <c r="B181" s="31" t="s">
        <v>284</v>
      </c>
      <c r="C181" s="95">
        <f>SUM(CAMP!BQ181)</f>
        <v>0</v>
      </c>
      <c r="D181" s="95">
        <v>11226</v>
      </c>
      <c r="E181" s="64"/>
      <c r="F181" s="121">
        <f>SUM(OLIVIER!AM181)</f>
        <v>0</v>
      </c>
      <c r="G181" s="121">
        <v>3409.5</v>
      </c>
      <c r="H181" s="64"/>
      <c r="I181" s="101">
        <f>SUM(BUNCHE!BB181)</f>
        <v>0</v>
      </c>
      <c r="J181" s="101">
        <v>4914</v>
      </c>
      <c r="K181" s="64"/>
      <c r="L181" s="107">
        <f>SUM(CMO!T181)</f>
        <v>0</v>
      </c>
      <c r="M181" s="107"/>
      <c r="N181" s="64"/>
      <c r="O181" s="113">
        <f t="shared" si="60"/>
        <v>0</v>
      </c>
      <c r="P181" s="113">
        <f t="shared" si="61"/>
        <v>19549.5</v>
      </c>
      <c r="Q181" s="64"/>
    </row>
    <row r="182" spans="1:17" outlineLevel="1">
      <c r="A182" s="31" t="s">
        <v>101</v>
      </c>
      <c r="B182" s="31" t="s">
        <v>102</v>
      </c>
      <c r="C182" s="95">
        <f>SUM(CAMP!BQ182)</f>
        <v>0</v>
      </c>
      <c r="D182" s="95"/>
      <c r="E182" s="64"/>
      <c r="F182" s="121">
        <f>SUM(OLIVIER!AM182)</f>
        <v>0</v>
      </c>
      <c r="G182" s="121"/>
      <c r="H182" s="64"/>
      <c r="I182" s="101">
        <f>SUM(BUNCHE!BB182)</f>
        <v>0</v>
      </c>
      <c r="J182" s="101"/>
      <c r="K182" s="64"/>
      <c r="L182" s="107">
        <f>SUM(CMO!T182)</f>
        <v>2000</v>
      </c>
      <c r="M182" s="107"/>
      <c r="N182" s="64"/>
      <c r="O182" s="113">
        <f t="shared" si="60"/>
        <v>2000</v>
      </c>
      <c r="P182" s="113">
        <f t="shared" si="61"/>
        <v>0</v>
      </c>
      <c r="Q182" s="64"/>
    </row>
    <row r="183" spans="1:17" outlineLevel="1">
      <c r="A183" s="31" t="s">
        <v>105</v>
      </c>
      <c r="B183" s="31" t="s">
        <v>167</v>
      </c>
      <c r="C183" s="95">
        <f>SUM(CAMP!BQ183)</f>
        <v>0</v>
      </c>
      <c r="D183" s="95">
        <v>15</v>
      </c>
      <c r="E183" s="64"/>
      <c r="F183" s="121">
        <f>SUM(OLIVIER!AM183)</f>
        <v>0</v>
      </c>
      <c r="G183" s="121"/>
      <c r="H183" s="64"/>
      <c r="I183" s="101">
        <f>SUM(BUNCHE!BB183)</f>
        <v>33333</v>
      </c>
      <c r="J183" s="101"/>
      <c r="K183" s="64"/>
      <c r="L183" s="107">
        <f>SUM(CMO!T183)</f>
        <v>0</v>
      </c>
      <c r="M183" s="107"/>
      <c r="N183" s="64"/>
      <c r="O183" s="113">
        <f t="shared" si="60"/>
        <v>33333</v>
      </c>
      <c r="P183" s="113">
        <f t="shared" si="61"/>
        <v>15</v>
      </c>
      <c r="Q183" s="64"/>
    </row>
    <row r="184" spans="1:17" outlineLevel="1">
      <c r="A184" s="31" t="s">
        <v>106</v>
      </c>
      <c r="B184" s="31" t="s">
        <v>107</v>
      </c>
      <c r="C184" s="95">
        <f>SUM(CAMP!BQ184)</f>
        <v>713</v>
      </c>
      <c r="D184" s="95">
        <v>3051.77</v>
      </c>
      <c r="E184" s="64"/>
      <c r="F184" s="121">
        <f>SUM(OLIVIER!AM184)</f>
        <v>350</v>
      </c>
      <c r="G184" s="121">
        <v>451.13</v>
      </c>
      <c r="H184" s="64"/>
      <c r="I184" s="101">
        <f>SUM(BUNCHE!BB184)</f>
        <v>650</v>
      </c>
      <c r="J184" s="101">
        <v>1957.43</v>
      </c>
      <c r="K184" s="64"/>
      <c r="L184" s="107">
        <f>SUM(CMO!T184)</f>
        <v>110020.6875</v>
      </c>
      <c r="M184" s="107">
        <v>9456.1200000000008</v>
      </c>
      <c r="N184" s="64"/>
      <c r="O184" s="113">
        <f t="shared" si="60"/>
        <v>111733.6875</v>
      </c>
      <c r="P184" s="113">
        <f t="shared" si="61"/>
        <v>14916.45</v>
      </c>
      <c r="Q184" s="64"/>
    </row>
    <row r="185" spans="1:17" outlineLevel="1">
      <c r="A185" s="31" t="s">
        <v>428</v>
      </c>
      <c r="B185" s="31" t="s">
        <v>429</v>
      </c>
      <c r="C185" s="96">
        <f>SUM(CAMP!BQ185)</f>
        <v>1000</v>
      </c>
      <c r="D185" s="96">
        <v>300</v>
      </c>
      <c r="E185" s="64"/>
      <c r="F185" s="122">
        <f>SUM(OLIVIER!AM185)</f>
        <v>250</v>
      </c>
      <c r="G185" s="122">
        <v>169.29</v>
      </c>
      <c r="H185" s="64"/>
      <c r="I185" s="102">
        <f>SUM(BUNCHE!BB185)</f>
        <v>8000</v>
      </c>
      <c r="J185" s="102"/>
      <c r="K185" s="64"/>
      <c r="L185" s="108">
        <f>SUM(CMO!T185)</f>
        <v>4900</v>
      </c>
      <c r="M185" s="108"/>
      <c r="N185" s="64"/>
      <c r="O185" s="114">
        <f t="shared" si="60"/>
        <v>14150</v>
      </c>
      <c r="P185" s="114">
        <f t="shared" si="61"/>
        <v>469.28999999999996</v>
      </c>
      <c r="Q185" s="64"/>
    </row>
    <row r="186" spans="1:17">
      <c r="B186" s="31" t="s">
        <v>168</v>
      </c>
      <c r="C186" s="94">
        <f>SUM(C175:C185)</f>
        <v>1140134</v>
      </c>
      <c r="D186" s="94">
        <f>SUM(D175:D185)</f>
        <v>881242.14</v>
      </c>
      <c r="E186" s="60"/>
      <c r="F186" s="120">
        <f>SUM(F175:F185)</f>
        <v>302687.25</v>
      </c>
      <c r="G186" s="120">
        <f>SUM(G175:G185)</f>
        <v>239277.35000000003</v>
      </c>
      <c r="H186" s="60"/>
      <c r="I186" s="100">
        <f>SUM(I175:I185)</f>
        <v>796975.5</v>
      </c>
      <c r="J186" s="100">
        <f>SUM(J175:J185)</f>
        <v>482854.69</v>
      </c>
      <c r="K186" s="60"/>
      <c r="L186" s="106">
        <f>SUM(L175:L185)</f>
        <v>223290.6875</v>
      </c>
      <c r="M186" s="106">
        <f>SUM(M175:M185)</f>
        <v>106814.95999999999</v>
      </c>
      <c r="N186" s="60"/>
      <c r="O186" s="112">
        <f>SUM(O175:O185)</f>
        <v>2463087.4375</v>
      </c>
      <c r="P186" s="112">
        <f>SUM(P175:P185)</f>
        <v>1710189.1400000001</v>
      </c>
      <c r="Q186" s="60"/>
    </row>
    <row r="187" spans="1:17">
      <c r="C187" s="94"/>
      <c r="D187" s="94"/>
      <c r="E187" s="64"/>
      <c r="F187" s="120"/>
      <c r="G187" s="120"/>
      <c r="H187" s="64"/>
      <c r="I187" s="100"/>
      <c r="J187" s="100"/>
      <c r="K187" s="64"/>
      <c r="L187" s="106"/>
      <c r="M187" s="106"/>
      <c r="N187" s="64"/>
      <c r="O187" s="112"/>
      <c r="P187" s="112"/>
      <c r="Q187" s="64"/>
    </row>
    <row r="188" spans="1:17" s="30" customFormat="1">
      <c r="A188" s="35"/>
      <c r="B188" s="35" t="s">
        <v>169</v>
      </c>
      <c r="C188" s="94">
        <f>SUM(C122+C133+C141+C150+C155+C171+C186)</f>
        <v>2652582.7724489798</v>
      </c>
      <c r="D188" s="94">
        <f>SUM(D122+D133+D141+D150+D155+D171+D186)</f>
        <v>2171685.9900000002</v>
      </c>
      <c r="E188" s="60"/>
      <c r="F188" s="120">
        <f>SUM(F122+F133+F141+F150+F155+F171+F186)</f>
        <v>959647.04074457905</v>
      </c>
      <c r="G188" s="120">
        <f>SUM(G122+G133+G141+G150+G155+G171+G186)</f>
        <v>604584.67999999993</v>
      </c>
      <c r="H188" s="60"/>
      <c r="I188" s="100">
        <f>SUM(I122+I133+I141+I150+I155+I171+I186)</f>
        <v>2507876.4827806121</v>
      </c>
      <c r="J188" s="100">
        <f>SUM(J122+J133+J141+J150+J155+J171+J186)</f>
        <v>1686047.5999999999</v>
      </c>
      <c r="K188" s="60"/>
      <c r="L188" s="106">
        <f>SUM(L122+L133+L141+L150+L155+L171+L186)</f>
        <v>904878.78749999998</v>
      </c>
      <c r="M188" s="106">
        <f>SUM(M122+M133+M141+M150+M155+M171+M186)</f>
        <v>580435.93999999994</v>
      </c>
      <c r="N188" s="60"/>
      <c r="O188" s="112">
        <f>SUM(O122+O133+O141+O150+O155+O171+O186)</f>
        <v>7024985.0834741704</v>
      </c>
      <c r="P188" s="112">
        <f>SUM(P122+P133+P141+P150+P155+P171+P186)</f>
        <v>5042754.21</v>
      </c>
      <c r="Q188" s="60"/>
    </row>
    <row r="189" spans="1:17">
      <c r="C189" s="94"/>
      <c r="D189" s="94"/>
      <c r="E189" s="64"/>
      <c r="F189" s="120"/>
      <c r="G189" s="120"/>
      <c r="H189" s="64"/>
      <c r="I189" s="100"/>
      <c r="J189" s="100"/>
      <c r="K189" s="64"/>
      <c r="L189" s="106"/>
      <c r="M189" s="106"/>
      <c r="N189" s="64"/>
      <c r="O189" s="112"/>
      <c r="P189" s="112"/>
      <c r="Q189" s="64"/>
    </row>
    <row r="190" spans="1:17">
      <c r="B190" s="35" t="s">
        <v>435</v>
      </c>
      <c r="C190" s="94">
        <f>SUM(C104+C188)</f>
        <v>7049198.2266665082</v>
      </c>
      <c r="D190" s="94">
        <f>SUM(D104+D188)</f>
        <v>6236159.5599999996</v>
      </c>
      <c r="E190" s="64"/>
      <c r="F190" s="120">
        <f>SUM(F104+F188)</f>
        <v>2257602.2675159397</v>
      </c>
      <c r="G190" s="120">
        <f>SUM(G104+G188)</f>
        <v>1487790.63</v>
      </c>
      <c r="H190" s="64"/>
      <c r="I190" s="100">
        <f>SUM(I104+I188)</f>
        <v>5168304.6968648154</v>
      </c>
      <c r="J190" s="100">
        <f>SUM(J104+J188)</f>
        <v>3204861.8099999996</v>
      </c>
      <c r="K190" s="64"/>
      <c r="L190" s="106">
        <f>SUM(L104+L188)</f>
        <v>2239904.8469451424</v>
      </c>
      <c r="M190" s="106">
        <f>SUM(M104+M188)</f>
        <v>1584867.9500000002</v>
      </c>
      <c r="N190" s="64"/>
      <c r="O190" s="112">
        <f>SUM(O104+O188)</f>
        <v>16715010.037992403</v>
      </c>
      <c r="P190" s="112">
        <f>SUM(P104+P188)</f>
        <v>12513679.950000001</v>
      </c>
      <c r="Q190" s="64"/>
    </row>
    <row r="191" spans="1:17">
      <c r="C191" s="94"/>
      <c r="D191" s="94"/>
      <c r="E191" s="64"/>
      <c r="F191" s="120"/>
      <c r="G191" s="120"/>
      <c r="H191" s="64"/>
      <c r="I191" s="100"/>
      <c r="J191" s="100"/>
      <c r="K191" s="64"/>
      <c r="L191" s="106"/>
      <c r="M191" s="106"/>
      <c r="N191" s="64"/>
      <c r="O191" s="112"/>
      <c r="P191" s="112"/>
      <c r="Q191" s="64"/>
    </row>
    <row r="192" spans="1:17" s="30" customFormat="1">
      <c r="A192" s="35"/>
      <c r="B192" s="35" t="s">
        <v>170</v>
      </c>
      <c r="C192" s="94">
        <f>+C68-C104-C188</f>
        <v>-427383.45796314022</v>
      </c>
      <c r="D192" s="94">
        <f>+D68-D104-D188</f>
        <v>310035.6400000006</v>
      </c>
      <c r="E192" s="60"/>
      <c r="F192" s="120">
        <f>+F68-F104-F188</f>
        <v>51378.334470347851</v>
      </c>
      <c r="G192" s="120">
        <f>+G68-G104-G188</f>
        <v>242762.31999999995</v>
      </c>
      <c r="H192" s="60"/>
      <c r="I192" s="100">
        <f>+I68-I104-I188</f>
        <v>-284256.9281614474</v>
      </c>
      <c r="J192" s="100">
        <f>+J68-J104-J188</f>
        <v>60747.570000000065</v>
      </c>
      <c r="K192" s="60"/>
      <c r="L192" s="106">
        <f>+L68-L104-L188</f>
        <v>-39491.09694514249</v>
      </c>
      <c r="M192" s="106">
        <f>+M68-M104-M188</f>
        <v>42482.380000000005</v>
      </c>
      <c r="N192" s="60"/>
      <c r="O192" s="112">
        <f>+O68-O104-O188</f>
        <v>-699753.14859938063</v>
      </c>
      <c r="P192" s="112">
        <f>+P68-P104-P188</f>
        <v>656027.90999999829</v>
      </c>
      <c r="Q192" s="60"/>
    </row>
    <row r="194" spans="1:17">
      <c r="A194" s="78"/>
      <c r="E194" s="36"/>
      <c r="H194" s="36"/>
      <c r="K194" s="36"/>
      <c r="N194" s="36"/>
      <c r="Q194" s="36"/>
    </row>
    <row r="195" spans="1:17">
      <c r="A195" s="78"/>
    </row>
    <row r="196" spans="1:17">
      <c r="B196" s="26"/>
    </row>
  </sheetData>
  <phoneticPr fontId="5" type="noConversion"/>
  <pageMargins left="0.2" right="0.21319444444444399" top="0.57999999999999996" bottom="0.42" header="0" footer="0"/>
  <pageSetup scale="60" fitToHeight="0" orientation="landscape"/>
  <headerFooter alignWithMargins="0">
    <oddHeader>&amp;C&amp;"MS Sans Serif,Bold"&amp;18INTERNATIONAL SCHOOL OF LOUISIANA&amp;"MS Sans Serif,Regular"&amp;10
&amp;"MS Sans Serif,Bold"&amp;13BUDGET SCHOOL YEAR '12-2013&amp;"MS Sans Serif,Regular"&amp;10
&amp;"MS Sans Serif,Italic"&amp;8version 5 As of 2012-0609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BT196"/>
  <sheetViews>
    <sheetView workbookViewId="0">
      <pane xSplit="2" ySplit="10" topLeftCell="C11" activePane="bottomRight" state="frozen"/>
      <selection activeCell="A116" sqref="A116:XFD116"/>
      <selection pane="topRight" activeCell="A116" sqref="A116:XFD116"/>
      <selection pane="bottomLeft" activeCell="A116" sqref="A116:XFD116"/>
      <selection pane="bottomRight" activeCell="K73" sqref="K73"/>
    </sheetView>
  </sheetViews>
  <sheetFormatPr baseColWidth="10" defaultColWidth="11.42578125" defaultRowHeight="13" outlineLevelCol="1" x14ac:dyDescent="0"/>
  <cols>
    <col min="1" max="1" width="15.7109375" style="31" customWidth="1"/>
    <col min="2" max="2" width="21.7109375" style="31" customWidth="1"/>
    <col min="3" max="3" width="9.85546875" style="26" customWidth="1"/>
    <col min="4" max="4" width="9.140625" style="26" bestFit="1" customWidth="1"/>
    <col min="5" max="5" width="10.42578125" style="26" bestFit="1" customWidth="1"/>
    <col min="6" max="6" width="9.140625" style="26" bestFit="1" customWidth="1"/>
    <col min="7" max="7" width="9.140625" style="26" customWidth="1"/>
    <col min="8" max="8" width="9.140625" style="26" bestFit="1" customWidth="1"/>
    <col min="9" max="9" width="2.140625" style="82" customWidth="1"/>
    <col min="10" max="13" width="11.42578125" style="26" customWidth="1" outlineLevel="1"/>
    <col min="14" max="14" width="2.42578125" style="67" customWidth="1"/>
    <col min="15" max="38" width="11.42578125" style="26" customWidth="1" outlineLevel="1"/>
    <col min="39" max="39" width="3.140625" style="67" customWidth="1"/>
    <col min="40" max="45" width="11.42578125" style="26" customWidth="1" outlineLevel="1"/>
    <col min="46" max="46" width="2.5703125" style="67" customWidth="1"/>
    <col min="47" max="54" width="11.42578125" style="26" customWidth="1" outlineLevel="1"/>
    <col min="55" max="55" width="3.140625" style="67" customWidth="1"/>
    <col min="56" max="56" width="8.28515625" style="1" customWidth="1" outlineLevel="1"/>
    <col min="57" max="57" width="8.5703125" style="26" customWidth="1" outlineLevel="1"/>
    <col min="58" max="60" width="9.140625" style="1" customWidth="1" outlineLevel="1"/>
    <col min="61" max="61" width="9.28515625" style="1" customWidth="1" outlineLevel="1"/>
    <col min="62" max="62" width="9" style="1" customWidth="1" outlineLevel="1"/>
    <col min="63" max="63" width="9.5703125" style="1" customWidth="1" outlineLevel="1"/>
    <col min="64" max="64" width="10.42578125" style="1" bestFit="1" customWidth="1" outlineLevel="1"/>
    <col min="65" max="65" width="9.85546875" style="1" customWidth="1" outlineLevel="1"/>
    <col min="66" max="66" width="11.85546875" style="1" customWidth="1" outlineLevel="1"/>
    <col min="67" max="67" width="10.140625" style="1" customWidth="1" outlineLevel="1"/>
    <col min="68" max="68" width="3.28515625" style="67" customWidth="1"/>
    <col min="69" max="69" width="11.42578125" style="49"/>
    <col min="70" max="70" width="4.85546875" style="26" customWidth="1"/>
    <col min="71" max="71" width="13" style="30" customWidth="1"/>
    <col min="72" max="72" width="11" bestFit="1" customWidth="1"/>
    <col min="73" max="16384" width="11.42578125" style="26"/>
  </cols>
  <sheetData>
    <row r="1" spans="1:72">
      <c r="C1" s="31"/>
    </row>
    <row r="2" spans="1:72">
      <c r="A2" s="30" t="s">
        <v>614</v>
      </c>
      <c r="B2" s="302">
        <f>SUM!C2</f>
        <v>8526</v>
      </c>
      <c r="BE2" s="26" t="s">
        <v>267</v>
      </c>
    </row>
    <row r="3" spans="1:72">
      <c r="B3" s="174"/>
      <c r="C3" s="31"/>
    </row>
    <row r="4" spans="1:72" ht="15">
      <c r="A4" s="253" t="s">
        <v>639</v>
      </c>
      <c r="B4" s="32">
        <f>SUM(SUM!B4)</f>
        <v>640</v>
      </c>
      <c r="BS4" s="176">
        <v>0.39043824701195218</v>
      </c>
    </row>
    <row r="5" spans="1:72">
      <c r="B5" s="32"/>
      <c r="BS5" s="176">
        <v>0.11952191235059761</v>
      </c>
    </row>
    <row r="6" spans="1:72">
      <c r="B6" s="32"/>
      <c r="BM6" s="56"/>
      <c r="BO6" s="56"/>
      <c r="BS6" s="176">
        <v>0.17131474103585656</v>
      </c>
    </row>
    <row r="7" spans="1:72" s="27" customFormat="1" ht="12">
      <c r="A7" s="28"/>
      <c r="B7" s="32"/>
      <c r="C7" s="27">
        <v>0</v>
      </c>
      <c r="D7" s="46">
        <f>SUM(J7:M7)</f>
        <v>8</v>
      </c>
      <c r="E7" s="46">
        <f>SUM(O7:AL7)+SUM(AN7:AS7)</f>
        <v>50.5</v>
      </c>
      <c r="F7" s="46">
        <f>SUM(AU7:BB7)</f>
        <v>12.5</v>
      </c>
      <c r="G7" s="46">
        <v>3.5</v>
      </c>
      <c r="H7" s="46">
        <v>2</v>
      </c>
      <c r="I7" s="81"/>
      <c r="J7" s="46">
        <v>2</v>
      </c>
      <c r="K7" s="46">
        <v>2</v>
      </c>
      <c r="L7" s="46">
        <v>2</v>
      </c>
      <c r="M7" s="46">
        <v>2</v>
      </c>
      <c r="N7" s="77"/>
      <c r="O7" s="46">
        <v>2</v>
      </c>
      <c r="P7" s="46">
        <v>2</v>
      </c>
      <c r="Q7" s="46">
        <v>2</v>
      </c>
      <c r="R7" s="46">
        <v>2</v>
      </c>
      <c r="S7" s="46">
        <v>2</v>
      </c>
      <c r="T7" s="46">
        <v>2</v>
      </c>
      <c r="U7" s="46">
        <v>2</v>
      </c>
      <c r="V7" s="46">
        <v>2</v>
      </c>
      <c r="W7" s="46">
        <v>1</v>
      </c>
      <c r="X7" s="46">
        <v>2</v>
      </c>
      <c r="Y7" s="46">
        <v>2</v>
      </c>
      <c r="Z7" s="46">
        <v>2</v>
      </c>
      <c r="AA7" s="46">
        <v>2</v>
      </c>
      <c r="AB7" s="46">
        <v>1</v>
      </c>
      <c r="AC7" s="46">
        <v>1.5</v>
      </c>
      <c r="AD7" s="46">
        <v>1.5</v>
      </c>
      <c r="AE7" s="46">
        <v>1.5</v>
      </c>
      <c r="AF7" s="46">
        <v>1.5</v>
      </c>
      <c r="AG7" s="46">
        <v>1</v>
      </c>
      <c r="AH7" s="46">
        <v>1</v>
      </c>
      <c r="AI7" s="46">
        <v>1</v>
      </c>
      <c r="AJ7" s="46">
        <v>1</v>
      </c>
      <c r="AK7" s="46">
        <v>1</v>
      </c>
      <c r="AL7" s="46">
        <v>1</v>
      </c>
      <c r="AM7" s="77"/>
      <c r="AN7" s="46">
        <v>2.5</v>
      </c>
      <c r="AO7" s="46">
        <v>3</v>
      </c>
      <c r="AP7" s="46">
        <v>2</v>
      </c>
      <c r="AQ7" s="46">
        <v>1</v>
      </c>
      <c r="AR7" s="46">
        <v>3</v>
      </c>
      <c r="AS7" s="46">
        <v>1</v>
      </c>
      <c r="AT7" s="77"/>
      <c r="AU7" s="46">
        <v>2</v>
      </c>
      <c r="AV7" s="46">
        <v>1.5</v>
      </c>
      <c r="AW7" s="46">
        <v>1</v>
      </c>
      <c r="AX7" s="46">
        <v>1.5</v>
      </c>
      <c r="AY7" s="46">
        <v>1</v>
      </c>
      <c r="AZ7" s="46">
        <v>2</v>
      </c>
      <c r="BA7" s="46">
        <v>1.5</v>
      </c>
      <c r="BB7" s="46">
        <v>2</v>
      </c>
      <c r="BC7" s="68"/>
      <c r="BD7" s="155">
        <v>0</v>
      </c>
      <c r="BE7" s="90">
        <v>1</v>
      </c>
      <c r="BF7" s="156">
        <v>1</v>
      </c>
      <c r="BG7" s="156">
        <v>1</v>
      </c>
      <c r="BH7" s="156">
        <v>1</v>
      </c>
      <c r="BI7" s="156">
        <v>0</v>
      </c>
      <c r="BJ7" s="155">
        <v>3</v>
      </c>
      <c r="BK7" s="155">
        <v>4</v>
      </c>
      <c r="BL7" s="155">
        <f>SUM(FC!D7)</f>
        <v>6</v>
      </c>
      <c r="BM7" s="90">
        <v>0</v>
      </c>
      <c r="BN7" s="155">
        <f>SUM(FS!D7)</f>
        <v>4</v>
      </c>
      <c r="BO7" s="155">
        <f>SUM(IT!D7)</f>
        <v>0</v>
      </c>
      <c r="BP7" s="68"/>
      <c r="BQ7" s="57">
        <f>SUM(C7:H7)+SUM(BD7:BO7)</f>
        <v>97.5</v>
      </c>
      <c r="BS7" s="176">
        <v>0.31872509960159362</v>
      </c>
      <c r="BT7" s="287">
        <v>640</v>
      </c>
    </row>
    <row r="8" spans="1:72" ht="10">
      <c r="B8" s="175"/>
      <c r="J8" s="26" t="s">
        <v>368</v>
      </c>
      <c r="K8" s="26" t="s">
        <v>369</v>
      </c>
      <c r="L8" s="26" t="s">
        <v>623</v>
      </c>
      <c r="M8" s="26" t="s">
        <v>621</v>
      </c>
      <c r="O8" s="26" t="s">
        <v>373</v>
      </c>
      <c r="P8" s="26" t="s">
        <v>372</v>
      </c>
      <c r="Q8" s="26" t="s">
        <v>565</v>
      </c>
      <c r="R8" s="26" t="s">
        <v>625</v>
      </c>
      <c r="S8" s="26" t="s">
        <v>570</v>
      </c>
      <c r="T8" s="26" t="s">
        <v>374</v>
      </c>
      <c r="U8" s="26" t="s">
        <v>371</v>
      </c>
      <c r="V8" s="26" t="s">
        <v>566</v>
      </c>
      <c r="W8" s="26" t="s">
        <v>376</v>
      </c>
      <c r="X8" s="26" t="s">
        <v>377</v>
      </c>
      <c r="Y8" s="26" t="s">
        <v>626</v>
      </c>
      <c r="Z8" s="26" t="s">
        <v>567</v>
      </c>
      <c r="AA8" s="26" t="s">
        <v>627</v>
      </c>
      <c r="AB8" s="26" t="s">
        <v>378</v>
      </c>
      <c r="AC8" s="26" t="s">
        <v>379</v>
      </c>
      <c r="AD8" s="26" t="s">
        <v>380</v>
      </c>
      <c r="AE8" s="26" t="s">
        <v>619</v>
      </c>
      <c r="AF8" s="26" t="s">
        <v>569</v>
      </c>
      <c r="AG8" s="26" t="s">
        <v>381</v>
      </c>
      <c r="AH8" s="26" t="s">
        <v>620</v>
      </c>
      <c r="AI8" s="26" t="s">
        <v>382</v>
      </c>
      <c r="AJ8" s="26" t="s">
        <v>568</v>
      </c>
      <c r="AK8" s="26" t="s">
        <v>370</v>
      </c>
      <c r="AN8" s="26" t="s">
        <v>476</v>
      </c>
      <c r="AO8" s="26" t="s">
        <v>481</v>
      </c>
      <c r="AP8" s="26" t="s">
        <v>631</v>
      </c>
      <c r="AR8" s="26" t="s">
        <v>632</v>
      </c>
      <c r="AU8" s="26" t="s">
        <v>384</v>
      </c>
      <c r="AW8" s="26" t="s">
        <v>386</v>
      </c>
      <c r="AX8" s="26" t="s">
        <v>387</v>
      </c>
      <c r="AY8" s="26" t="s">
        <v>370</v>
      </c>
      <c r="BA8" s="26" t="s">
        <v>388</v>
      </c>
      <c r="BS8" s="92" t="s">
        <v>576</v>
      </c>
      <c r="BT8" s="92" t="s">
        <v>576</v>
      </c>
    </row>
    <row r="9" spans="1:72" ht="10">
      <c r="C9" s="26" t="s">
        <v>175</v>
      </c>
      <c r="D9" s="26" t="s">
        <v>176</v>
      </c>
      <c r="E9" s="26" t="s">
        <v>177</v>
      </c>
      <c r="F9" s="26" t="s">
        <v>178</v>
      </c>
      <c r="G9" s="26" t="s">
        <v>395</v>
      </c>
      <c r="H9" s="26" t="s">
        <v>179</v>
      </c>
      <c r="J9" s="26" t="s">
        <v>326</v>
      </c>
      <c r="K9" s="26" t="s">
        <v>560</v>
      </c>
      <c r="L9" s="26" t="s">
        <v>624</v>
      </c>
      <c r="M9" s="26" t="s">
        <v>622</v>
      </c>
      <c r="O9" s="26" t="s">
        <v>562</v>
      </c>
      <c r="S9" s="26" t="s">
        <v>563</v>
      </c>
      <c r="T9" s="26" t="s">
        <v>561</v>
      </c>
      <c r="U9" s="26" t="s">
        <v>628</v>
      </c>
      <c r="V9" s="26" t="s">
        <v>629</v>
      </c>
      <c r="X9" s="26" t="s">
        <v>630</v>
      </c>
      <c r="Y9" s="26" t="s">
        <v>630</v>
      </c>
      <c r="Z9" s="26" t="s">
        <v>630</v>
      </c>
      <c r="AA9" s="26" t="s">
        <v>630</v>
      </c>
      <c r="AC9" s="26" t="s">
        <v>646</v>
      </c>
      <c r="AD9" s="26" t="s">
        <v>564</v>
      </c>
      <c r="AF9" s="26" t="s">
        <v>630</v>
      </c>
      <c r="AN9" s="26" t="s">
        <v>478</v>
      </c>
      <c r="AO9" s="26" t="s">
        <v>633</v>
      </c>
      <c r="AP9" s="26" t="s">
        <v>634</v>
      </c>
      <c r="AQ9" s="26" t="s">
        <v>635</v>
      </c>
      <c r="AR9" s="26" t="s">
        <v>636</v>
      </c>
      <c r="AU9" s="26" t="s">
        <v>178</v>
      </c>
      <c r="BD9" s="56" t="s">
        <v>180</v>
      </c>
      <c r="BE9" s="29" t="s">
        <v>408</v>
      </c>
      <c r="BF9" s="56" t="s">
        <v>181</v>
      </c>
      <c r="BG9" s="56" t="s">
        <v>182</v>
      </c>
      <c r="BH9" s="56" t="s">
        <v>183</v>
      </c>
      <c r="BI9" s="1" t="s">
        <v>446</v>
      </c>
      <c r="BJ9" s="56" t="s">
        <v>191</v>
      </c>
      <c r="BK9" s="56" t="s">
        <v>192</v>
      </c>
      <c r="BL9" s="56" t="s">
        <v>188</v>
      </c>
      <c r="BM9" s="1" t="s">
        <v>185</v>
      </c>
      <c r="BN9" s="56" t="s">
        <v>190</v>
      </c>
      <c r="BO9" s="56" t="s">
        <v>430</v>
      </c>
      <c r="BS9" s="125" t="s">
        <v>453</v>
      </c>
      <c r="BT9" s="125" t="s">
        <v>588</v>
      </c>
    </row>
    <row r="10" spans="1:72" s="43" customFormat="1" ht="11" thickBot="1">
      <c r="A10" s="33"/>
      <c r="B10" s="33" t="s">
        <v>174</v>
      </c>
      <c r="C10" s="298">
        <v>1000</v>
      </c>
      <c r="D10" s="298">
        <v>1105</v>
      </c>
      <c r="E10" s="298">
        <v>1110</v>
      </c>
      <c r="F10" s="298">
        <v>1111</v>
      </c>
      <c r="G10" s="298">
        <v>2410</v>
      </c>
      <c r="H10" s="298">
        <v>2420</v>
      </c>
      <c r="I10" s="297"/>
      <c r="J10" s="298" t="s">
        <v>327</v>
      </c>
      <c r="K10" s="298" t="s">
        <v>328</v>
      </c>
      <c r="L10" s="298" t="s">
        <v>329</v>
      </c>
      <c r="M10" s="298" t="s">
        <v>330</v>
      </c>
      <c r="N10" s="297"/>
      <c r="O10" s="298" t="s">
        <v>332</v>
      </c>
      <c r="P10" s="298" t="s">
        <v>333</v>
      </c>
      <c r="Q10" s="298" t="s">
        <v>334</v>
      </c>
      <c r="R10" s="298" t="s">
        <v>335</v>
      </c>
      <c r="S10" s="298" t="s">
        <v>336</v>
      </c>
      <c r="T10" s="298" t="s">
        <v>337</v>
      </c>
      <c r="U10" s="298" t="s">
        <v>338</v>
      </c>
      <c r="V10" s="298" t="s">
        <v>339</v>
      </c>
      <c r="W10" s="298" t="s">
        <v>341</v>
      </c>
      <c r="X10" s="298" t="s">
        <v>340</v>
      </c>
      <c r="Y10" s="298" t="s">
        <v>342</v>
      </c>
      <c r="Z10" s="298" t="s">
        <v>343</v>
      </c>
      <c r="AA10" s="298" t="s">
        <v>344</v>
      </c>
      <c r="AB10" s="298" t="s">
        <v>345</v>
      </c>
      <c r="AC10" s="298" t="s">
        <v>346</v>
      </c>
      <c r="AD10" s="298" t="s">
        <v>347</v>
      </c>
      <c r="AE10" s="298" t="s">
        <v>349</v>
      </c>
      <c r="AF10" s="298" t="s">
        <v>348</v>
      </c>
      <c r="AG10" s="298" t="s">
        <v>350</v>
      </c>
      <c r="AH10" s="298" t="s">
        <v>351</v>
      </c>
      <c r="AI10" s="298" t="s">
        <v>352</v>
      </c>
      <c r="AJ10" s="298" t="s">
        <v>353</v>
      </c>
      <c r="AK10" s="298" t="s">
        <v>400</v>
      </c>
      <c r="AL10" s="298" t="s">
        <v>354</v>
      </c>
      <c r="AM10" s="297"/>
      <c r="AN10" s="298" t="s">
        <v>361</v>
      </c>
      <c r="AO10" s="298" t="s">
        <v>362</v>
      </c>
      <c r="AP10" s="298" t="s">
        <v>363</v>
      </c>
      <c r="AQ10" s="298" t="s">
        <v>393</v>
      </c>
      <c r="AR10" s="298" t="s">
        <v>394</v>
      </c>
      <c r="AS10" s="300" t="s">
        <v>366</v>
      </c>
      <c r="AT10" s="301"/>
      <c r="AU10" s="298" t="s">
        <v>355</v>
      </c>
      <c r="AV10" s="298" t="s">
        <v>383</v>
      </c>
      <c r="AW10" s="298" t="s">
        <v>385</v>
      </c>
      <c r="AX10" s="298" t="s">
        <v>358</v>
      </c>
      <c r="AY10" s="298" t="s">
        <v>357</v>
      </c>
      <c r="AZ10" s="298" t="s">
        <v>356</v>
      </c>
      <c r="BA10" s="298" t="s">
        <v>571</v>
      </c>
      <c r="BB10" s="298" t="s">
        <v>359</v>
      </c>
      <c r="BC10" s="297"/>
      <c r="BD10" s="255" t="s">
        <v>392</v>
      </c>
      <c r="BE10" s="298" t="s">
        <v>409</v>
      </c>
      <c r="BF10" s="255">
        <v>2122</v>
      </c>
      <c r="BG10" s="255">
        <v>2134</v>
      </c>
      <c r="BH10" s="255">
        <v>2252</v>
      </c>
      <c r="BI10" s="255"/>
      <c r="BJ10" s="255">
        <v>3200</v>
      </c>
      <c r="BK10" s="255">
        <v>3210</v>
      </c>
      <c r="BL10" s="255">
        <v>2620</v>
      </c>
      <c r="BM10" s="255">
        <v>2500</v>
      </c>
      <c r="BN10" s="255">
        <v>3100</v>
      </c>
      <c r="BO10" s="255">
        <v>2840</v>
      </c>
      <c r="BP10" s="297"/>
      <c r="BQ10" s="299"/>
      <c r="BR10" s="298"/>
      <c r="BS10" s="93" t="s">
        <v>642</v>
      </c>
      <c r="BT10" s="93" t="s">
        <v>454</v>
      </c>
    </row>
    <row r="11" spans="1:72">
      <c r="A11" s="31" t="s">
        <v>268</v>
      </c>
      <c r="BD11" s="38"/>
      <c r="BE11" s="47"/>
      <c r="BF11" s="38"/>
      <c r="BG11" s="38"/>
      <c r="BH11" s="38"/>
      <c r="BJ11" s="38"/>
      <c r="BK11" s="38"/>
      <c r="BL11" s="38"/>
      <c r="BN11" s="38"/>
      <c r="BO11" s="38"/>
      <c r="BS11" s="91"/>
    </row>
    <row r="12" spans="1:72">
      <c r="A12" s="31" t="s">
        <v>269</v>
      </c>
      <c r="C12" s="42"/>
      <c r="BD12" s="38"/>
      <c r="BE12" s="47"/>
      <c r="BF12" s="38"/>
      <c r="BG12" s="38"/>
      <c r="BH12" s="38"/>
      <c r="BJ12" s="38"/>
      <c r="BK12" s="38"/>
      <c r="BL12" s="38"/>
      <c r="BN12" s="38"/>
      <c r="BO12" s="38"/>
      <c r="BS12" s="91"/>
    </row>
    <row r="13" spans="1:72" ht="12">
      <c r="A13" s="31" t="s">
        <v>171</v>
      </c>
      <c r="B13" s="31" t="s">
        <v>270</v>
      </c>
      <c r="C13" s="23">
        <v>75000</v>
      </c>
      <c r="D13" s="23">
        <f>SUM(J13:M13)</f>
        <v>0</v>
      </c>
      <c r="E13" s="23">
        <f t="shared" ref="E13:E37" si="0">SUM(O13:AS13)</f>
        <v>0</v>
      </c>
      <c r="F13" s="23">
        <f>SUM(AU13:BB13)</f>
        <v>0</v>
      </c>
      <c r="G13" s="23"/>
      <c r="H13" s="23"/>
      <c r="I13" s="167"/>
      <c r="J13" s="23"/>
      <c r="K13" s="23"/>
      <c r="L13" s="23"/>
      <c r="M13" s="23"/>
      <c r="N13" s="84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84"/>
      <c r="AN13" s="23"/>
      <c r="AO13" s="23"/>
      <c r="AP13" s="23"/>
      <c r="AQ13" s="23"/>
      <c r="AR13" s="23"/>
      <c r="AS13" s="23"/>
      <c r="AT13" s="84"/>
      <c r="AU13" s="23"/>
      <c r="AV13" s="23"/>
      <c r="AW13" s="23"/>
      <c r="AX13" s="23"/>
      <c r="AY13" s="23"/>
      <c r="AZ13" s="23"/>
      <c r="BA13" s="23"/>
      <c r="BB13" s="23"/>
      <c r="BC13" s="84"/>
      <c r="BD13" s="61">
        <f>SUM('AC-SVC'!C13)*BD$7</f>
        <v>0</v>
      </c>
      <c r="BE13" s="61">
        <f>SUM('AC-SVC'!D13)</f>
        <v>0</v>
      </c>
      <c r="BF13" s="61">
        <f>SUM('AC-SVC'!G13)</f>
        <v>0</v>
      </c>
      <c r="BG13" s="61">
        <f>SUM('AC-SVC'!J13)</f>
        <v>0</v>
      </c>
      <c r="BH13" s="61">
        <f>SUM('AC-SVC'!M13)</f>
        <v>0</v>
      </c>
      <c r="BI13" s="61">
        <f>SUM('AC-SVC'!P13)*BI$7</f>
        <v>0</v>
      </c>
      <c r="BJ13" s="61">
        <f>SUM(PT!C13)</f>
        <v>0</v>
      </c>
      <c r="BK13" s="61">
        <f>SUM(CCLC!C13)</f>
        <v>0</v>
      </c>
      <c r="BL13" s="61">
        <f>SUM(FC!D13)</f>
        <v>0</v>
      </c>
      <c r="BM13" s="61">
        <f>SUM(FN!F13)*BM$7</f>
        <v>0</v>
      </c>
      <c r="BN13" s="61">
        <f>SUM(FS!D13)</f>
        <v>0</v>
      </c>
      <c r="BO13" s="61">
        <f>SUM(IT!D13)</f>
        <v>0</v>
      </c>
      <c r="BP13" s="84"/>
      <c r="BQ13" s="49">
        <f t="shared" ref="BQ13:BQ37" si="1">SUM(C13:H13)+SUM(BD13:BO13)</f>
        <v>75000</v>
      </c>
      <c r="BS13" s="95">
        <f>SUM(Sheet1!C13)</f>
        <v>0</v>
      </c>
      <c r="BT13" s="288">
        <f>BQ13</f>
        <v>75000</v>
      </c>
    </row>
    <row r="14" spans="1:72" ht="12">
      <c r="A14" s="31" t="s">
        <v>172</v>
      </c>
      <c r="B14" s="31" t="s">
        <v>271</v>
      </c>
      <c r="C14" s="23">
        <v>150000</v>
      </c>
      <c r="D14" s="23">
        <f t="shared" ref="D14:D37" si="2">SUM(J14:M14)</f>
        <v>0</v>
      </c>
      <c r="E14" s="23">
        <f t="shared" si="0"/>
        <v>0</v>
      </c>
      <c r="F14" s="23">
        <f t="shared" ref="F14:F37" si="3">SUM(AU14:BB14)</f>
        <v>0</v>
      </c>
      <c r="G14" s="23"/>
      <c r="H14" s="23"/>
      <c r="I14" s="167"/>
      <c r="J14" s="23"/>
      <c r="K14" s="23"/>
      <c r="L14" s="23"/>
      <c r="M14" s="23"/>
      <c r="N14" s="84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84"/>
      <c r="AN14" s="23"/>
      <c r="AO14" s="23"/>
      <c r="AP14" s="23"/>
      <c r="AQ14" s="23"/>
      <c r="AR14" s="23"/>
      <c r="AS14" s="23"/>
      <c r="AT14" s="84"/>
      <c r="AU14" s="23"/>
      <c r="AV14" s="23"/>
      <c r="AW14" s="23"/>
      <c r="AX14" s="23"/>
      <c r="AY14" s="23"/>
      <c r="AZ14" s="23"/>
      <c r="BA14" s="23"/>
      <c r="BB14" s="23"/>
      <c r="BC14" s="84"/>
      <c r="BD14" s="61">
        <f>SUM('AC-SVC'!C14)*BD$7</f>
        <v>0</v>
      </c>
      <c r="BE14" s="61">
        <f>SUM('AC-SVC'!D14)</f>
        <v>0</v>
      </c>
      <c r="BF14" s="61">
        <f>SUM('AC-SVC'!G14)</f>
        <v>0</v>
      </c>
      <c r="BG14" s="61">
        <f>SUM('AC-SVC'!J14)</f>
        <v>0</v>
      </c>
      <c r="BH14" s="61">
        <f>SUM('AC-SVC'!M14)</f>
        <v>0</v>
      </c>
      <c r="BI14" s="61">
        <f>SUM('AC-SVC'!P14)*BI$7</f>
        <v>0</v>
      </c>
      <c r="BJ14" s="61">
        <f>SUM(PT!C14)</f>
        <v>0</v>
      </c>
      <c r="BK14" s="61">
        <f>SUM(CCLC!C14)</f>
        <v>0</v>
      </c>
      <c r="BL14" s="61">
        <f>SUM(FC!D14)</f>
        <v>0</v>
      </c>
      <c r="BM14" s="61">
        <f>SUM(FN!F14)*BM$7</f>
        <v>0</v>
      </c>
      <c r="BN14" s="61">
        <f>SUM(FS!D14)</f>
        <v>0</v>
      </c>
      <c r="BO14" s="61">
        <f>SUM(IT!D14)</f>
        <v>0</v>
      </c>
      <c r="BP14" s="84"/>
      <c r="BQ14" s="49">
        <f t="shared" si="1"/>
        <v>150000</v>
      </c>
      <c r="BS14" s="95">
        <f>SUM(Sheet1!C14)</f>
        <v>92764.62</v>
      </c>
      <c r="BT14" s="288">
        <f>SUM(Sheet1!I14)</f>
        <v>80470.339622641506</v>
      </c>
    </row>
    <row r="15" spans="1:72" ht="12">
      <c r="A15" s="31" t="s">
        <v>173</v>
      </c>
      <c r="B15" s="31" t="s">
        <v>272</v>
      </c>
      <c r="C15" s="23"/>
      <c r="D15" s="23">
        <f t="shared" si="2"/>
        <v>0</v>
      </c>
      <c r="E15" s="23">
        <f t="shared" si="0"/>
        <v>0</v>
      </c>
      <c r="F15" s="23">
        <f t="shared" si="3"/>
        <v>0</v>
      </c>
      <c r="G15" s="23"/>
      <c r="H15" s="23"/>
      <c r="I15" s="167"/>
      <c r="J15" s="23"/>
      <c r="K15" s="23"/>
      <c r="L15" s="23"/>
      <c r="M15" s="23"/>
      <c r="N15" s="84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84"/>
      <c r="AN15" s="23"/>
      <c r="AO15" s="23"/>
      <c r="AP15" s="23"/>
      <c r="AQ15" s="23"/>
      <c r="AR15" s="23"/>
      <c r="AS15" s="23"/>
      <c r="AT15" s="84"/>
      <c r="AU15" s="23"/>
      <c r="AV15" s="23"/>
      <c r="AW15" s="23"/>
      <c r="AX15" s="23"/>
      <c r="AY15" s="23"/>
      <c r="AZ15" s="23"/>
      <c r="BA15" s="23"/>
      <c r="BB15" s="23"/>
      <c r="BC15" s="84"/>
      <c r="BD15" s="61">
        <f>SUM('AC-SVC'!C15)*BD$7</f>
        <v>0</v>
      </c>
      <c r="BE15" s="61">
        <f>SUM('AC-SVC'!D15)</f>
        <v>0</v>
      </c>
      <c r="BF15" s="61">
        <f>SUM('AC-SVC'!G15)</f>
        <v>0</v>
      </c>
      <c r="BG15" s="61">
        <f>SUM('AC-SVC'!J15)</f>
        <v>0</v>
      </c>
      <c r="BH15" s="61">
        <f>SUM('AC-SVC'!M15)</f>
        <v>0</v>
      </c>
      <c r="BI15" s="61">
        <f>SUM('AC-SVC'!P15)*BI$7</f>
        <v>0</v>
      </c>
      <c r="BJ15" s="61">
        <f>SUM(PT!C15)</f>
        <v>0</v>
      </c>
      <c r="BK15" s="61">
        <f>SUM(CCLC!C15)</f>
        <v>0</v>
      </c>
      <c r="BL15" s="61">
        <f>SUM(FC!D15)</f>
        <v>0</v>
      </c>
      <c r="BM15" s="61">
        <f>SUM(FN!F15)*BM$7</f>
        <v>0</v>
      </c>
      <c r="BN15" s="61">
        <f>SUM(FS!D15)</f>
        <v>0</v>
      </c>
      <c r="BO15" s="61">
        <f>SUM(IT!D15)</f>
        <v>0</v>
      </c>
      <c r="BP15" s="84"/>
      <c r="BQ15" s="49">
        <f t="shared" si="1"/>
        <v>0</v>
      </c>
      <c r="BS15" s="95">
        <f>SUM(Sheet1!C15)</f>
        <v>0</v>
      </c>
      <c r="BT15" s="288">
        <f>SUM(Sheet1!I15)</f>
        <v>0</v>
      </c>
    </row>
    <row r="16" spans="1:72" ht="12">
      <c r="A16" s="31" t="s">
        <v>193</v>
      </c>
      <c r="B16" s="31" t="s">
        <v>273</v>
      </c>
      <c r="C16" s="23"/>
      <c r="D16" s="23">
        <f t="shared" si="2"/>
        <v>0</v>
      </c>
      <c r="E16" s="23">
        <f t="shared" si="0"/>
        <v>0</v>
      </c>
      <c r="F16" s="23">
        <f t="shared" si="3"/>
        <v>0</v>
      </c>
      <c r="G16" s="23"/>
      <c r="H16" s="23"/>
      <c r="I16" s="167"/>
      <c r="J16" s="23"/>
      <c r="K16" s="23"/>
      <c r="L16" s="23"/>
      <c r="M16" s="23"/>
      <c r="N16" s="84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84"/>
      <c r="AN16" s="23"/>
      <c r="AO16" s="23"/>
      <c r="AP16" s="23"/>
      <c r="AQ16" s="23"/>
      <c r="AR16" s="23"/>
      <c r="AS16" s="23"/>
      <c r="AT16" s="84"/>
      <c r="AU16" s="23"/>
      <c r="AV16" s="23"/>
      <c r="AW16" s="23"/>
      <c r="AX16" s="23"/>
      <c r="AY16" s="23"/>
      <c r="AZ16" s="23"/>
      <c r="BA16" s="23"/>
      <c r="BB16" s="23"/>
      <c r="BC16" s="84"/>
      <c r="BD16" s="61">
        <f>SUM('AC-SVC'!C16)*BD$7</f>
        <v>0</v>
      </c>
      <c r="BE16" s="61">
        <f>SUM('AC-SVC'!D16)</f>
        <v>0</v>
      </c>
      <c r="BF16" s="61">
        <f>SUM('AC-SVC'!G16)</f>
        <v>0</v>
      </c>
      <c r="BG16" s="61">
        <f>SUM('AC-SVC'!J16)</f>
        <v>0</v>
      </c>
      <c r="BH16" s="61">
        <f>SUM('AC-SVC'!M16)</f>
        <v>0</v>
      </c>
      <c r="BI16" s="61">
        <f>SUM('AC-SVC'!P16)*BI$7</f>
        <v>0</v>
      </c>
      <c r="BJ16" s="61">
        <f>SUM(PT!C16)</f>
        <v>0</v>
      </c>
      <c r="BK16" s="61">
        <f>SUM(CCLC!C16)</f>
        <v>0</v>
      </c>
      <c r="BL16" s="61">
        <f>SUM(FC!D16)</f>
        <v>0</v>
      </c>
      <c r="BM16" s="61">
        <f>SUM(FN!F16)*BM$7</f>
        <v>0</v>
      </c>
      <c r="BN16" s="61">
        <f>SUM(FS!D16)</f>
        <v>102400</v>
      </c>
      <c r="BO16" s="61">
        <f>SUM(IT!D16)</f>
        <v>0</v>
      </c>
      <c r="BP16" s="84"/>
      <c r="BQ16" s="49">
        <f t="shared" si="1"/>
        <v>102400</v>
      </c>
      <c r="BS16" s="95">
        <f>SUM(Sheet1!C16)</f>
        <v>78760</v>
      </c>
      <c r="BT16" s="288">
        <f>SUM(Sheet1!I16)</f>
        <v>71094.858867924529</v>
      </c>
    </row>
    <row r="17" spans="1:72" ht="12">
      <c r="A17" s="31" t="s">
        <v>194</v>
      </c>
      <c r="B17" s="31" t="s">
        <v>274</v>
      </c>
      <c r="C17" s="23"/>
      <c r="D17" s="23">
        <f t="shared" si="2"/>
        <v>0</v>
      </c>
      <c r="E17" s="23">
        <f t="shared" si="0"/>
        <v>0</v>
      </c>
      <c r="F17" s="23">
        <f t="shared" si="3"/>
        <v>0</v>
      </c>
      <c r="G17" s="23"/>
      <c r="H17" s="23"/>
      <c r="I17" s="167"/>
      <c r="J17" s="23"/>
      <c r="K17" s="23"/>
      <c r="L17" s="23"/>
      <c r="M17" s="23"/>
      <c r="N17" s="84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84"/>
      <c r="AN17" s="23"/>
      <c r="AO17" s="23"/>
      <c r="AP17" s="23"/>
      <c r="AQ17" s="23"/>
      <c r="AR17" s="23"/>
      <c r="AS17" s="23"/>
      <c r="AT17" s="84"/>
      <c r="AU17" s="23"/>
      <c r="AV17" s="23"/>
      <c r="AW17" s="23"/>
      <c r="AX17" s="23"/>
      <c r="AY17" s="23"/>
      <c r="AZ17" s="23"/>
      <c r="BA17" s="23"/>
      <c r="BB17" s="23"/>
      <c r="BC17" s="84"/>
      <c r="BD17" s="61">
        <f>SUM('AC-SVC'!C17)*BD$7</f>
        <v>0</v>
      </c>
      <c r="BE17" s="61">
        <f>SUM('AC-SVC'!D17)</f>
        <v>0</v>
      </c>
      <c r="BF17" s="61">
        <f>SUM('AC-SVC'!G17)</f>
        <v>0</v>
      </c>
      <c r="BG17" s="61">
        <f>SUM('AC-SVC'!J17)</f>
        <v>0</v>
      </c>
      <c r="BH17" s="61">
        <f>SUM('AC-SVC'!M17)</f>
        <v>0</v>
      </c>
      <c r="BI17" s="61">
        <f>SUM('AC-SVC'!P17)*BI$7</f>
        <v>0</v>
      </c>
      <c r="BJ17" s="61">
        <f>SUM(PT!C17)</f>
        <v>67500</v>
      </c>
      <c r="BK17" s="61">
        <f>SUM(CCLC!C17)</f>
        <v>0</v>
      </c>
      <c r="BL17" s="61">
        <f>SUM(FC!D17)</f>
        <v>0</v>
      </c>
      <c r="BM17" s="61">
        <f>SUM(FN!F17)*BM$7</f>
        <v>0</v>
      </c>
      <c r="BN17" s="61">
        <f>SUM(FS!D17)</f>
        <v>0</v>
      </c>
      <c r="BO17" s="61">
        <f>SUM(IT!D17)</f>
        <v>0</v>
      </c>
      <c r="BP17" s="84"/>
      <c r="BQ17" s="49">
        <f t="shared" si="1"/>
        <v>67500</v>
      </c>
      <c r="BS17" s="95">
        <f>SUM(Sheet1!C17)</f>
        <v>146422.85999999999</v>
      </c>
      <c r="BT17" s="288">
        <f>SUM(Sheet1!I17)</f>
        <v>134692.67320754717</v>
      </c>
    </row>
    <row r="18" spans="1:72" ht="12">
      <c r="A18" s="31" t="s">
        <v>195</v>
      </c>
      <c r="B18" s="31" t="s">
        <v>275</v>
      </c>
      <c r="C18" s="23"/>
      <c r="D18" s="23">
        <f t="shared" si="2"/>
        <v>0</v>
      </c>
      <c r="E18" s="23">
        <f t="shared" si="0"/>
        <v>0</v>
      </c>
      <c r="F18" s="23">
        <f t="shared" si="3"/>
        <v>0</v>
      </c>
      <c r="G18" s="23"/>
      <c r="H18" s="23"/>
      <c r="I18" s="167"/>
      <c r="J18" s="23"/>
      <c r="K18" s="23"/>
      <c r="L18" s="23"/>
      <c r="M18" s="23"/>
      <c r="N18" s="84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84"/>
      <c r="AN18" s="23"/>
      <c r="AO18" s="23"/>
      <c r="AP18" s="23"/>
      <c r="AQ18" s="23"/>
      <c r="AR18" s="23"/>
      <c r="AS18" s="23"/>
      <c r="AT18" s="84"/>
      <c r="AU18" s="23"/>
      <c r="AV18" s="23"/>
      <c r="AW18" s="23"/>
      <c r="AX18" s="23"/>
      <c r="AY18" s="23"/>
      <c r="AZ18" s="23"/>
      <c r="BA18" s="23"/>
      <c r="BB18" s="23"/>
      <c r="BC18" s="84"/>
      <c r="BD18" s="61">
        <f>SUM('AC-SVC'!C18)*BD$7</f>
        <v>0</v>
      </c>
      <c r="BE18" s="61">
        <f>SUM('AC-SVC'!D18)</f>
        <v>0</v>
      </c>
      <c r="BF18" s="61">
        <f>SUM('AC-SVC'!G18)</f>
        <v>0</v>
      </c>
      <c r="BG18" s="61">
        <f>SUM('AC-SVC'!J18)</f>
        <v>0</v>
      </c>
      <c r="BH18" s="61">
        <f>SUM('AC-SVC'!M18)</f>
        <v>0</v>
      </c>
      <c r="BI18" s="61">
        <f>SUM('AC-SVC'!P18)*BI$7</f>
        <v>0</v>
      </c>
      <c r="BJ18" s="61">
        <f>SUM(PT!C18)</f>
        <v>0</v>
      </c>
      <c r="BK18" s="61">
        <f>SUM(CCLC!C18)</f>
        <v>0</v>
      </c>
      <c r="BL18" s="61">
        <f>SUM(FC!D18)</f>
        <v>0</v>
      </c>
      <c r="BM18" s="61">
        <f>SUM(FN!F18)*BM$7</f>
        <v>0</v>
      </c>
      <c r="BN18" s="61">
        <f>SUM(FS!D18)</f>
        <v>0</v>
      </c>
      <c r="BO18" s="61">
        <f>SUM(IT!D18)</f>
        <v>0</v>
      </c>
      <c r="BP18" s="84"/>
      <c r="BQ18" s="49">
        <f t="shared" si="1"/>
        <v>0</v>
      </c>
      <c r="BS18" s="95">
        <f>SUM(Sheet1!C18)</f>
        <v>0</v>
      </c>
      <c r="BT18" s="288">
        <f>BQ18</f>
        <v>0</v>
      </c>
    </row>
    <row r="19" spans="1:72" ht="12">
      <c r="A19" s="31" t="s">
        <v>196</v>
      </c>
      <c r="B19" s="31" t="s">
        <v>276</v>
      </c>
      <c r="C19" s="23"/>
      <c r="D19" s="23">
        <f t="shared" si="2"/>
        <v>0</v>
      </c>
      <c r="E19" s="23">
        <f t="shared" si="0"/>
        <v>0</v>
      </c>
      <c r="F19" s="23">
        <f t="shared" si="3"/>
        <v>0</v>
      </c>
      <c r="G19" s="23"/>
      <c r="H19" s="23"/>
      <c r="I19" s="167"/>
      <c r="J19" s="23"/>
      <c r="K19" s="23"/>
      <c r="L19" s="23"/>
      <c r="M19" s="23"/>
      <c r="N19" s="8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84"/>
      <c r="AN19" s="23"/>
      <c r="AO19" s="23"/>
      <c r="AP19" s="23"/>
      <c r="AQ19" s="23"/>
      <c r="AR19" s="23"/>
      <c r="AS19" s="23"/>
      <c r="AT19" s="84"/>
      <c r="AU19" s="23"/>
      <c r="AV19" s="23"/>
      <c r="AW19" s="23"/>
      <c r="AX19" s="23"/>
      <c r="AY19" s="23"/>
      <c r="AZ19" s="23"/>
      <c r="BA19" s="23"/>
      <c r="BB19" s="23"/>
      <c r="BC19" s="84"/>
      <c r="BD19" s="61">
        <f>SUM('AC-SVC'!C19)*BD$7</f>
        <v>0</v>
      </c>
      <c r="BE19" s="61">
        <f>SUM('AC-SVC'!D19)</f>
        <v>0</v>
      </c>
      <c r="BF19" s="61">
        <f>SUM('AC-SVC'!G19)</f>
        <v>0</v>
      </c>
      <c r="BG19" s="61">
        <f>SUM('AC-SVC'!J19)</f>
        <v>0</v>
      </c>
      <c r="BH19" s="61">
        <f>SUM('AC-SVC'!M19)</f>
        <v>0</v>
      </c>
      <c r="BI19" s="61">
        <f>SUM('AC-SVC'!P19)*BI$7</f>
        <v>0</v>
      </c>
      <c r="BJ19" s="61">
        <f>SUM(PT!C19)</f>
        <v>0</v>
      </c>
      <c r="BK19" s="61">
        <f>SUM(CCLC!C19)</f>
        <v>0</v>
      </c>
      <c r="BL19" s="61">
        <f>SUM(FC!D19)</f>
        <v>0</v>
      </c>
      <c r="BM19" s="61">
        <f>SUM(FN!F19)*BM$7</f>
        <v>0</v>
      </c>
      <c r="BN19" s="61">
        <f>SUM(FS!D19)</f>
        <v>0</v>
      </c>
      <c r="BO19" s="61">
        <f>SUM(IT!D19)</f>
        <v>0</v>
      </c>
      <c r="BP19" s="84"/>
      <c r="BQ19" s="49">
        <f t="shared" si="1"/>
        <v>0</v>
      </c>
      <c r="BS19" s="95">
        <f>SUM(Sheet1!C19)</f>
        <v>0</v>
      </c>
      <c r="BT19" s="288">
        <f>SUM(Sheet1!I19)</f>
        <v>0</v>
      </c>
    </row>
    <row r="20" spans="1:72" ht="12">
      <c r="A20" s="31" t="s">
        <v>197</v>
      </c>
      <c r="B20" s="31" t="s">
        <v>277</v>
      </c>
      <c r="C20" s="23">
        <f>190*(SUM!B4)*0.5</f>
        <v>60800</v>
      </c>
      <c r="D20" s="23">
        <f t="shared" si="2"/>
        <v>0</v>
      </c>
      <c r="E20" s="23">
        <f t="shared" si="0"/>
        <v>0</v>
      </c>
      <c r="F20" s="23">
        <f t="shared" si="3"/>
        <v>0</v>
      </c>
      <c r="G20" s="23"/>
      <c r="H20" s="23"/>
      <c r="I20" s="167"/>
      <c r="J20" s="23"/>
      <c r="K20" s="23"/>
      <c r="L20" s="23"/>
      <c r="M20" s="23"/>
      <c r="N20" s="8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84"/>
      <c r="AN20" s="23"/>
      <c r="AO20" s="23"/>
      <c r="AP20" s="23"/>
      <c r="AQ20" s="23"/>
      <c r="AR20" s="23"/>
      <c r="AS20" s="23"/>
      <c r="AT20" s="84"/>
      <c r="AU20" s="23"/>
      <c r="AV20" s="23"/>
      <c r="AW20" s="23"/>
      <c r="AX20" s="23"/>
      <c r="AY20" s="23"/>
      <c r="AZ20" s="23"/>
      <c r="BA20" s="23"/>
      <c r="BB20" s="23"/>
      <c r="BC20" s="84"/>
      <c r="BD20" s="61">
        <f>SUM('AC-SVC'!C20)*BD$7</f>
        <v>0</v>
      </c>
      <c r="BE20" s="61">
        <f>SUM('AC-SVC'!D20)</f>
        <v>0</v>
      </c>
      <c r="BF20" s="61">
        <f>SUM('AC-SVC'!G20)</f>
        <v>0</v>
      </c>
      <c r="BG20" s="61">
        <f>SUM('AC-SVC'!J20)</f>
        <v>0</v>
      </c>
      <c r="BH20" s="61">
        <f>SUM('AC-SVC'!M20)</f>
        <v>0</v>
      </c>
      <c r="BI20" s="61">
        <f>SUM('AC-SVC'!P20)*BI$7</f>
        <v>0</v>
      </c>
      <c r="BJ20" s="61">
        <f>SUM(PT!C20)</f>
        <v>0</v>
      </c>
      <c r="BK20" s="61">
        <f>SUM(CCLC!C20)</f>
        <v>0</v>
      </c>
      <c r="BL20" s="61">
        <f>SUM(FC!D20)</f>
        <v>0</v>
      </c>
      <c r="BM20" s="61">
        <f>SUM(FN!F20)*BM$7</f>
        <v>0</v>
      </c>
      <c r="BN20" s="61">
        <f>SUM(FS!D20)</f>
        <v>0</v>
      </c>
      <c r="BO20" s="61">
        <f>SUM(IT!D20)</f>
        <v>0</v>
      </c>
      <c r="BP20" s="84"/>
      <c r="BQ20" s="49">
        <f t="shared" si="1"/>
        <v>60800</v>
      </c>
      <c r="BS20" s="95">
        <f>SUM(Sheet1!C20)</f>
        <v>0</v>
      </c>
      <c r="BT20" s="288">
        <f>SUM(Sheet1!I20)</f>
        <v>0</v>
      </c>
    </row>
    <row r="21" spans="1:72" ht="12">
      <c r="A21" s="31" t="s">
        <v>198</v>
      </c>
      <c r="B21" s="31" t="s">
        <v>278</v>
      </c>
      <c r="C21" s="168">
        <f>+(96+96+88)*190</f>
        <v>53200</v>
      </c>
      <c r="D21" s="23">
        <f t="shared" si="2"/>
        <v>0</v>
      </c>
      <c r="E21" s="23">
        <f t="shared" si="0"/>
        <v>0</v>
      </c>
      <c r="F21" s="23">
        <f t="shared" si="3"/>
        <v>0</v>
      </c>
      <c r="G21" s="23"/>
      <c r="H21" s="23"/>
      <c r="I21" s="167"/>
      <c r="J21" s="23"/>
      <c r="K21" s="23"/>
      <c r="L21" s="23"/>
      <c r="M21" s="23"/>
      <c r="N21" s="84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84"/>
      <c r="AN21" s="23"/>
      <c r="AO21" s="23"/>
      <c r="AP21" s="23"/>
      <c r="AQ21" s="23"/>
      <c r="AR21" s="23"/>
      <c r="AS21" s="23"/>
      <c r="AT21" s="84"/>
      <c r="AU21" s="23"/>
      <c r="AV21" s="23"/>
      <c r="AW21" s="23"/>
      <c r="AX21" s="23"/>
      <c r="AY21" s="23"/>
      <c r="AZ21" s="23"/>
      <c r="BA21" s="23"/>
      <c r="BB21" s="23"/>
      <c r="BC21" s="84"/>
      <c r="BD21" s="61">
        <f>SUM('AC-SVC'!C21)*BD$7</f>
        <v>0</v>
      </c>
      <c r="BE21" s="61">
        <f>SUM('AC-SVC'!D21)</f>
        <v>0</v>
      </c>
      <c r="BF21" s="61">
        <f>SUM('AC-SVC'!G21)</f>
        <v>0</v>
      </c>
      <c r="BG21" s="61">
        <f>SUM('AC-SVC'!J21)</f>
        <v>0</v>
      </c>
      <c r="BH21" s="61">
        <f>SUM('AC-SVC'!M21)</f>
        <v>0</v>
      </c>
      <c r="BI21" s="61">
        <f>SUM('AC-SVC'!P21)*BI$7</f>
        <v>0</v>
      </c>
      <c r="BJ21" s="61">
        <f>SUM(PT!C21)</f>
        <v>0</v>
      </c>
      <c r="BK21" s="61">
        <f>SUM(CCLC!C21)</f>
        <v>0</v>
      </c>
      <c r="BL21" s="61">
        <f>SUM(FC!D21)</f>
        <v>0</v>
      </c>
      <c r="BM21" s="61">
        <f>SUM(FN!F21)*BM$7</f>
        <v>0</v>
      </c>
      <c r="BN21" s="61">
        <f>SUM(FS!D21)</f>
        <v>0</v>
      </c>
      <c r="BO21" s="61">
        <f>SUM(IT!D21)</f>
        <v>0</v>
      </c>
      <c r="BP21" s="84"/>
      <c r="BQ21" s="49">
        <f t="shared" si="1"/>
        <v>53200</v>
      </c>
      <c r="BS21" s="95">
        <f>SUM(Sheet1!C21)</f>
        <v>69757.679999999993</v>
      </c>
      <c r="BT21" s="288">
        <f>SUM(Sheet1!I21)</f>
        <v>77879.39018867923</v>
      </c>
    </row>
    <row r="22" spans="1:72" ht="12">
      <c r="A22" s="31" t="s">
        <v>199</v>
      </c>
      <c r="B22" s="31" t="s">
        <v>279</v>
      </c>
      <c r="C22" s="23"/>
      <c r="D22" s="23">
        <f t="shared" si="2"/>
        <v>0</v>
      </c>
      <c r="E22" s="23">
        <f t="shared" si="0"/>
        <v>0</v>
      </c>
      <c r="F22" s="23">
        <f t="shared" si="3"/>
        <v>0</v>
      </c>
      <c r="G22" s="23"/>
      <c r="H22" s="23"/>
      <c r="I22" s="167"/>
      <c r="J22" s="23"/>
      <c r="K22" s="23"/>
      <c r="L22" s="23"/>
      <c r="M22" s="23"/>
      <c r="N22" s="84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84"/>
      <c r="AN22" s="23"/>
      <c r="AO22" s="23"/>
      <c r="AP22" s="23"/>
      <c r="AQ22" s="23"/>
      <c r="AR22" s="23"/>
      <c r="AS22" s="23"/>
      <c r="AT22" s="84"/>
      <c r="AU22" s="23"/>
      <c r="AV22" s="23"/>
      <c r="AW22" s="23"/>
      <c r="AX22" s="23"/>
      <c r="AY22" s="23"/>
      <c r="AZ22" s="23"/>
      <c r="BA22" s="23"/>
      <c r="BB22" s="23"/>
      <c r="BC22" s="84"/>
      <c r="BD22" s="61">
        <f>SUM('AC-SVC'!C22)*BD$7</f>
        <v>0</v>
      </c>
      <c r="BE22" s="61">
        <f>SUM('AC-SVC'!D22)</f>
        <v>0</v>
      </c>
      <c r="BF22" s="61">
        <f>SUM('AC-SVC'!G22)</f>
        <v>0</v>
      </c>
      <c r="BG22" s="61">
        <f>SUM('AC-SVC'!J22)</f>
        <v>0</v>
      </c>
      <c r="BH22" s="61">
        <f>SUM('AC-SVC'!M22)</f>
        <v>0</v>
      </c>
      <c r="BI22" s="61">
        <f>SUM('AC-SVC'!P22)*BI$7</f>
        <v>0</v>
      </c>
      <c r="BJ22" s="61">
        <f>SUM(PT!C22)</f>
        <v>0</v>
      </c>
      <c r="BK22" s="61">
        <f>SUM(CCLC!C22)</f>
        <v>0</v>
      </c>
      <c r="BL22" s="61">
        <f>SUM(FC!D22)</f>
        <v>0</v>
      </c>
      <c r="BM22" s="61">
        <f>SUM(FN!F22)*BM$7</f>
        <v>0</v>
      </c>
      <c r="BN22" s="61">
        <f>SUM(FS!D22)</f>
        <v>0</v>
      </c>
      <c r="BO22" s="61">
        <f>SUM(IT!D22)</f>
        <v>0</v>
      </c>
      <c r="BP22" s="84"/>
      <c r="BQ22" s="49">
        <f t="shared" si="1"/>
        <v>0</v>
      </c>
      <c r="BS22" s="95">
        <f>SUM(Sheet1!C22)</f>
        <v>0</v>
      </c>
      <c r="BT22" s="288">
        <f>SUM(Sheet1!I22)</f>
        <v>0</v>
      </c>
    </row>
    <row r="23" spans="1:72" ht="12">
      <c r="A23" s="31" t="s">
        <v>200</v>
      </c>
      <c r="B23" s="31" t="s">
        <v>280</v>
      </c>
      <c r="C23" s="23"/>
      <c r="D23" s="23">
        <f t="shared" si="2"/>
        <v>0</v>
      </c>
      <c r="E23" s="23">
        <f t="shared" si="0"/>
        <v>0</v>
      </c>
      <c r="F23" s="23">
        <f t="shared" si="3"/>
        <v>0</v>
      </c>
      <c r="G23" s="23"/>
      <c r="H23" s="23"/>
      <c r="I23" s="167"/>
      <c r="J23" s="23"/>
      <c r="K23" s="23"/>
      <c r="L23" s="23"/>
      <c r="M23" s="23"/>
      <c r="N23" s="84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84"/>
      <c r="AN23" s="23"/>
      <c r="AO23" s="23"/>
      <c r="AP23" s="23"/>
      <c r="AQ23" s="23"/>
      <c r="AR23" s="23"/>
      <c r="AS23" s="23"/>
      <c r="AT23" s="84"/>
      <c r="AU23" s="23"/>
      <c r="AV23" s="23"/>
      <c r="AW23" s="23"/>
      <c r="AX23" s="23"/>
      <c r="AY23" s="23"/>
      <c r="AZ23" s="23"/>
      <c r="BA23" s="23"/>
      <c r="BB23" s="23"/>
      <c r="BC23" s="84"/>
      <c r="BD23" s="61">
        <f>SUM('AC-SVC'!C23)*BD$7</f>
        <v>0</v>
      </c>
      <c r="BE23" s="61">
        <f>SUM('AC-SVC'!D23)</f>
        <v>0</v>
      </c>
      <c r="BF23" s="61">
        <f>SUM('AC-SVC'!G23)</f>
        <v>0</v>
      </c>
      <c r="BG23" s="61">
        <f>SUM('AC-SVC'!J23)</f>
        <v>0</v>
      </c>
      <c r="BH23" s="61">
        <f>SUM('AC-SVC'!M23)</f>
        <v>500</v>
      </c>
      <c r="BI23" s="61">
        <f>SUM('AC-SVC'!P23)*BI$7</f>
        <v>0</v>
      </c>
      <c r="BJ23" s="61">
        <f>SUM(PT!C23)</f>
        <v>0</v>
      </c>
      <c r="BK23" s="61">
        <f>SUM(CCLC!C23)</f>
        <v>0</v>
      </c>
      <c r="BL23" s="61">
        <f>SUM(FC!D23)</f>
        <v>0</v>
      </c>
      <c r="BM23" s="61">
        <f>SUM(FN!F23)*BM$7</f>
        <v>0</v>
      </c>
      <c r="BN23" s="61">
        <f>SUM(FS!D23)</f>
        <v>0</v>
      </c>
      <c r="BO23" s="61">
        <f>SUM(IT!D23)</f>
        <v>0</v>
      </c>
      <c r="BP23" s="84"/>
      <c r="BQ23" s="49">
        <f t="shared" si="1"/>
        <v>500</v>
      </c>
      <c r="BS23" s="95">
        <f>SUM(Sheet1!C23)</f>
        <v>1249</v>
      </c>
      <c r="BT23" s="288">
        <f>SUM(Sheet1!I23)</f>
        <v>781.28301886792451</v>
      </c>
    </row>
    <row r="24" spans="1:72" ht="12">
      <c r="A24" s="31" t="s">
        <v>201</v>
      </c>
      <c r="B24" s="31" t="s">
        <v>281</v>
      </c>
      <c r="C24" s="23"/>
      <c r="D24" s="23">
        <f t="shared" si="2"/>
        <v>0</v>
      </c>
      <c r="E24" s="23">
        <f t="shared" si="0"/>
        <v>0</v>
      </c>
      <c r="F24" s="23">
        <f t="shared" si="3"/>
        <v>0</v>
      </c>
      <c r="G24" s="23"/>
      <c r="H24" s="23"/>
      <c r="I24" s="167"/>
      <c r="J24" s="23"/>
      <c r="K24" s="23"/>
      <c r="L24" s="23"/>
      <c r="M24" s="23"/>
      <c r="N24" s="84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84"/>
      <c r="AN24" s="23"/>
      <c r="AO24" s="23"/>
      <c r="AP24" s="23"/>
      <c r="AQ24" s="23"/>
      <c r="AR24" s="23"/>
      <c r="AS24" s="23"/>
      <c r="AT24" s="84"/>
      <c r="AU24" s="23"/>
      <c r="AV24" s="23"/>
      <c r="AW24" s="23"/>
      <c r="AX24" s="23"/>
      <c r="AY24" s="23"/>
      <c r="AZ24" s="23"/>
      <c r="BA24" s="23"/>
      <c r="BB24" s="23"/>
      <c r="BC24" s="84"/>
      <c r="BD24" s="61">
        <f>SUM('AC-SVC'!C24)*BD$7</f>
        <v>0</v>
      </c>
      <c r="BE24" s="61">
        <f>SUM('AC-SVC'!D24)</f>
        <v>0</v>
      </c>
      <c r="BF24" s="61">
        <f>SUM('AC-SVC'!G24)</f>
        <v>0</v>
      </c>
      <c r="BG24" s="61">
        <f>SUM('AC-SVC'!J24)</f>
        <v>0</v>
      </c>
      <c r="BH24" s="61">
        <f>SUM('AC-SVC'!M24)</f>
        <v>0</v>
      </c>
      <c r="BI24" s="61">
        <f>SUM('AC-SVC'!P24)*BI$7</f>
        <v>0</v>
      </c>
      <c r="BJ24" s="61">
        <f>SUM(PT!C24)</f>
        <v>0</v>
      </c>
      <c r="BK24" s="61">
        <f>SUM(CCLC!C24)</f>
        <v>0</v>
      </c>
      <c r="BL24" s="61">
        <f>SUM(FC!D24)</f>
        <v>0</v>
      </c>
      <c r="BM24" s="61">
        <f>SUM(FN!F24)*BM$7</f>
        <v>0</v>
      </c>
      <c r="BN24" s="61">
        <f>SUM(FS!D24)</f>
        <v>0</v>
      </c>
      <c r="BO24" s="61">
        <f>SUM(IT!D24)</f>
        <v>0</v>
      </c>
      <c r="BP24" s="84"/>
      <c r="BQ24" s="49">
        <f t="shared" si="1"/>
        <v>0</v>
      </c>
      <c r="BS24" s="95">
        <f>SUM(Sheet1!C24)</f>
        <v>0</v>
      </c>
      <c r="BT24" s="288">
        <f>SUM(Sheet1!I24)</f>
        <v>0</v>
      </c>
    </row>
    <row r="25" spans="1:72" ht="12">
      <c r="A25" s="31" t="s">
        <v>202</v>
      </c>
      <c r="B25" s="31" t="s">
        <v>282</v>
      </c>
      <c r="C25" s="23"/>
      <c r="D25" s="23">
        <f t="shared" si="2"/>
        <v>0</v>
      </c>
      <c r="E25" s="23">
        <f t="shared" si="0"/>
        <v>0</v>
      </c>
      <c r="F25" s="23">
        <f t="shared" si="3"/>
        <v>0</v>
      </c>
      <c r="G25" s="23"/>
      <c r="H25" s="23"/>
      <c r="I25" s="167"/>
      <c r="J25" s="23"/>
      <c r="K25" s="23"/>
      <c r="L25" s="23"/>
      <c r="M25" s="23"/>
      <c r="N25" s="84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84"/>
      <c r="AN25" s="23"/>
      <c r="AO25" s="23"/>
      <c r="AP25" s="23"/>
      <c r="AQ25" s="23"/>
      <c r="AR25" s="23"/>
      <c r="AS25" s="23"/>
      <c r="AT25" s="84"/>
      <c r="AU25" s="23"/>
      <c r="AV25" s="23"/>
      <c r="AW25" s="23"/>
      <c r="AX25" s="23"/>
      <c r="AY25" s="23"/>
      <c r="AZ25" s="23"/>
      <c r="BA25" s="23"/>
      <c r="BB25" s="23"/>
      <c r="BC25" s="84"/>
      <c r="BD25" s="61">
        <f>SUM('AC-SVC'!C25)*BD$7</f>
        <v>0</v>
      </c>
      <c r="BE25" s="61">
        <f>SUM('AC-SVC'!D25)</f>
        <v>0</v>
      </c>
      <c r="BF25" s="61">
        <f>SUM('AC-SVC'!G25)</f>
        <v>0</v>
      </c>
      <c r="BG25" s="61">
        <f>SUM('AC-SVC'!J25)</f>
        <v>0</v>
      </c>
      <c r="BH25" s="61">
        <f>SUM('AC-SVC'!M25)</f>
        <v>0</v>
      </c>
      <c r="BI25" s="61">
        <f>SUM('AC-SVC'!P25)*BI$7</f>
        <v>0</v>
      </c>
      <c r="BJ25" s="61">
        <f>SUM(PT!C25)</f>
        <v>0</v>
      </c>
      <c r="BK25" s="61">
        <f>SUM(CCLC!C25)</f>
        <v>0</v>
      </c>
      <c r="BL25" s="61">
        <f>SUM(FC!D25)</f>
        <v>0</v>
      </c>
      <c r="BM25" s="61">
        <f>SUM(FN!F25)*BM$7</f>
        <v>0</v>
      </c>
      <c r="BN25" s="61">
        <f>SUM(FS!D25)</f>
        <v>0</v>
      </c>
      <c r="BO25" s="61">
        <f>SUM(IT!D25)</f>
        <v>0</v>
      </c>
      <c r="BP25" s="84"/>
      <c r="BQ25" s="49">
        <f t="shared" si="1"/>
        <v>0</v>
      </c>
      <c r="BS25" s="95">
        <f>SUM(Sheet1!C25)</f>
        <v>0</v>
      </c>
      <c r="BT25" s="288">
        <f>SUM(Sheet1!I25)</f>
        <v>0</v>
      </c>
    </row>
    <row r="26" spans="1:72" ht="12">
      <c r="A26" s="31" t="s">
        <v>203</v>
      </c>
      <c r="B26" s="31" t="s">
        <v>283</v>
      </c>
      <c r="C26" s="23"/>
      <c r="D26" s="23">
        <f t="shared" si="2"/>
        <v>0</v>
      </c>
      <c r="E26" s="23">
        <f t="shared" si="0"/>
        <v>0</v>
      </c>
      <c r="F26" s="23">
        <f t="shared" si="3"/>
        <v>0</v>
      </c>
      <c r="G26" s="23"/>
      <c r="H26" s="23"/>
      <c r="I26" s="167"/>
      <c r="J26" s="23"/>
      <c r="K26" s="23"/>
      <c r="L26" s="23"/>
      <c r="M26" s="23"/>
      <c r="N26" s="84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84"/>
      <c r="AN26" s="23"/>
      <c r="AO26" s="23"/>
      <c r="AP26" s="23"/>
      <c r="AQ26" s="23"/>
      <c r="AR26" s="23"/>
      <c r="AS26" s="23"/>
      <c r="AT26" s="84"/>
      <c r="AU26" s="23"/>
      <c r="AV26" s="23"/>
      <c r="AW26" s="23"/>
      <c r="AX26" s="23"/>
      <c r="AY26" s="23"/>
      <c r="AZ26" s="23"/>
      <c r="BA26" s="23"/>
      <c r="BB26" s="23"/>
      <c r="BC26" s="84"/>
      <c r="BD26" s="61">
        <f>SUM('AC-SVC'!C26)*BD$7</f>
        <v>0</v>
      </c>
      <c r="BE26" s="61">
        <f>SUM('AC-SVC'!D26)</f>
        <v>0</v>
      </c>
      <c r="BF26" s="61">
        <f>SUM('AC-SVC'!G26)</f>
        <v>0</v>
      </c>
      <c r="BG26" s="61">
        <f>SUM('AC-SVC'!J26)</f>
        <v>0</v>
      </c>
      <c r="BH26" s="61">
        <f>SUM('AC-SVC'!M26)</f>
        <v>0</v>
      </c>
      <c r="BI26" s="61">
        <f>SUM('AC-SVC'!P26)*BI$7</f>
        <v>0</v>
      </c>
      <c r="BJ26" s="61">
        <f>SUM(PT!C26)</f>
        <v>0</v>
      </c>
      <c r="BK26" s="61">
        <f>SUM(CCLC!C26)</f>
        <v>0</v>
      </c>
      <c r="BL26" s="61">
        <f>SUM(FC!D26)</f>
        <v>0</v>
      </c>
      <c r="BM26" s="61">
        <f>SUM(FN!F26)*BM$7</f>
        <v>0</v>
      </c>
      <c r="BN26" s="61">
        <f>SUM(FS!D26)</f>
        <v>0</v>
      </c>
      <c r="BO26" s="61">
        <f>SUM(IT!D26)</f>
        <v>0</v>
      </c>
      <c r="BP26" s="84"/>
      <c r="BQ26" s="49">
        <f t="shared" si="1"/>
        <v>0</v>
      </c>
      <c r="BS26" s="95">
        <f>SUM(Sheet1!C26)</f>
        <v>0</v>
      </c>
      <c r="BT26" s="288">
        <f>SUM(Sheet1!I26)</f>
        <v>0</v>
      </c>
    </row>
    <row r="27" spans="1:72" ht="12">
      <c r="A27" s="31" t="s">
        <v>204</v>
      </c>
      <c r="B27" s="31" t="s">
        <v>284</v>
      </c>
      <c r="C27" s="23"/>
      <c r="D27" s="23">
        <f t="shared" si="2"/>
        <v>0</v>
      </c>
      <c r="E27" s="23">
        <f t="shared" si="0"/>
        <v>0</v>
      </c>
      <c r="F27" s="23">
        <f t="shared" si="3"/>
        <v>0</v>
      </c>
      <c r="G27" s="23"/>
      <c r="H27" s="23"/>
      <c r="I27" s="167"/>
      <c r="J27" s="23"/>
      <c r="K27" s="23"/>
      <c r="L27" s="23"/>
      <c r="M27" s="23"/>
      <c r="N27" s="84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84"/>
      <c r="AN27" s="23"/>
      <c r="AO27" s="23"/>
      <c r="AP27" s="23"/>
      <c r="AQ27" s="23"/>
      <c r="AR27" s="23"/>
      <c r="AS27" s="23"/>
      <c r="AT27" s="84"/>
      <c r="AU27" s="23"/>
      <c r="AV27" s="23"/>
      <c r="AW27" s="23"/>
      <c r="AX27" s="23"/>
      <c r="AY27" s="23"/>
      <c r="AZ27" s="23"/>
      <c r="BA27" s="23"/>
      <c r="BB27" s="23"/>
      <c r="BC27" s="84"/>
      <c r="BD27" s="61">
        <f>SUM('AC-SVC'!C27)*BD$7</f>
        <v>0</v>
      </c>
      <c r="BE27" s="61">
        <f>SUM('AC-SVC'!D27)</f>
        <v>0</v>
      </c>
      <c r="BF27" s="61">
        <f>SUM('AC-SVC'!G27)</f>
        <v>0</v>
      </c>
      <c r="BG27" s="61">
        <f>SUM('AC-SVC'!J27)</f>
        <v>0</v>
      </c>
      <c r="BH27" s="61">
        <f>SUM('AC-SVC'!M27)</f>
        <v>0</v>
      </c>
      <c r="BI27" s="61">
        <f>SUM('AC-SVC'!P27)*BI$7</f>
        <v>0</v>
      </c>
      <c r="BJ27" s="61">
        <f>SUM(PT!C27)</f>
        <v>0</v>
      </c>
      <c r="BK27" s="61">
        <f>SUM(CCLC!C27)</f>
        <v>0</v>
      </c>
      <c r="BL27" s="61">
        <f>SUM(FC!D27)</f>
        <v>0</v>
      </c>
      <c r="BM27" s="61">
        <f>SUM(FN!F27)*BM$7</f>
        <v>0</v>
      </c>
      <c r="BN27" s="61">
        <f>SUM(FS!D27)</f>
        <v>0</v>
      </c>
      <c r="BO27" s="61">
        <f>SUM(IT!D27)</f>
        <v>0</v>
      </c>
      <c r="BP27" s="84"/>
      <c r="BQ27" s="49">
        <f t="shared" si="1"/>
        <v>0</v>
      </c>
      <c r="BS27" s="95">
        <f>SUM(Sheet1!C27)</f>
        <v>10069.73</v>
      </c>
      <c r="BT27" s="288">
        <f>SUM(Sheet1!I27)</f>
        <v>12746.23396226415</v>
      </c>
    </row>
    <row r="28" spans="1:72" ht="12">
      <c r="A28" s="31" t="s">
        <v>205</v>
      </c>
      <c r="B28" s="31" t="s">
        <v>285</v>
      </c>
      <c r="C28" s="23"/>
      <c r="D28" s="23">
        <f t="shared" si="2"/>
        <v>0</v>
      </c>
      <c r="E28" s="23">
        <f t="shared" si="0"/>
        <v>0</v>
      </c>
      <c r="F28" s="23">
        <f t="shared" si="3"/>
        <v>0</v>
      </c>
      <c r="G28" s="23"/>
      <c r="H28" s="23"/>
      <c r="I28" s="167"/>
      <c r="J28" s="23"/>
      <c r="K28" s="23"/>
      <c r="L28" s="23"/>
      <c r="M28" s="23"/>
      <c r="N28" s="84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84"/>
      <c r="AN28" s="23"/>
      <c r="AO28" s="23"/>
      <c r="AP28" s="23"/>
      <c r="AQ28" s="23"/>
      <c r="AR28" s="23"/>
      <c r="AS28" s="23"/>
      <c r="AT28" s="84"/>
      <c r="AU28" s="23"/>
      <c r="AV28" s="23"/>
      <c r="AW28" s="23"/>
      <c r="AX28" s="23"/>
      <c r="AY28" s="23"/>
      <c r="AZ28" s="23"/>
      <c r="BA28" s="23"/>
      <c r="BB28" s="23"/>
      <c r="BC28" s="84"/>
      <c r="BD28" s="61">
        <f>SUM('AC-SVC'!C28)*BD$7</f>
        <v>0</v>
      </c>
      <c r="BE28" s="61">
        <f>SUM('AC-SVC'!D28)</f>
        <v>0</v>
      </c>
      <c r="BF28" s="61">
        <f>SUM('AC-SVC'!G28)</f>
        <v>0</v>
      </c>
      <c r="BG28" s="61">
        <f>SUM('AC-SVC'!J28)</f>
        <v>0</v>
      </c>
      <c r="BH28" s="61">
        <f>SUM('AC-SVC'!M28)</f>
        <v>0</v>
      </c>
      <c r="BI28" s="61">
        <f>SUM('AC-SVC'!P28)*BI$7</f>
        <v>0</v>
      </c>
      <c r="BJ28" s="61">
        <f>SUM(PT!C28)</f>
        <v>0</v>
      </c>
      <c r="BK28" s="61">
        <f>SUM(CCLC!C28)</f>
        <v>0</v>
      </c>
      <c r="BL28" s="61">
        <f>SUM(FC!D28)</f>
        <v>0</v>
      </c>
      <c r="BM28" s="61">
        <f>SUM(FN!F28)*BM$7</f>
        <v>0</v>
      </c>
      <c r="BN28" s="61">
        <f>SUM(FS!D28)</f>
        <v>0</v>
      </c>
      <c r="BO28" s="61">
        <f>SUM(IT!D28)</f>
        <v>0</v>
      </c>
      <c r="BP28" s="84"/>
      <c r="BQ28" s="49">
        <f t="shared" si="1"/>
        <v>0</v>
      </c>
      <c r="BS28" s="95">
        <f>SUM(Sheet1!C28)</f>
        <v>1443.75</v>
      </c>
      <c r="BT28" s="288">
        <f>SUM(Sheet1!I28)</f>
        <v>2864.1509433962265</v>
      </c>
    </row>
    <row r="29" spans="1:72" ht="12">
      <c r="A29" s="31" t="s">
        <v>206</v>
      </c>
      <c r="B29" s="31" t="s">
        <v>286</v>
      </c>
      <c r="C29" s="23"/>
      <c r="D29" s="23">
        <f t="shared" si="2"/>
        <v>0</v>
      </c>
      <c r="E29" s="23">
        <f t="shared" si="0"/>
        <v>0</v>
      </c>
      <c r="F29" s="23">
        <f t="shared" si="3"/>
        <v>0</v>
      </c>
      <c r="G29" s="23"/>
      <c r="H29" s="23"/>
      <c r="I29" s="167"/>
      <c r="J29" s="23"/>
      <c r="K29" s="23"/>
      <c r="L29" s="23"/>
      <c r="M29" s="23"/>
      <c r="N29" s="8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84"/>
      <c r="AN29" s="23"/>
      <c r="AO29" s="23"/>
      <c r="AP29" s="23"/>
      <c r="AQ29" s="23"/>
      <c r="AR29" s="23"/>
      <c r="AS29" s="23"/>
      <c r="AT29" s="84"/>
      <c r="AU29" s="23"/>
      <c r="AV29" s="23"/>
      <c r="AW29" s="23"/>
      <c r="AX29" s="23"/>
      <c r="AY29" s="23"/>
      <c r="AZ29" s="23"/>
      <c r="BA29" s="23"/>
      <c r="BB29" s="23"/>
      <c r="BC29" s="84"/>
      <c r="BD29" s="61">
        <f>SUM('AC-SVC'!C29)*BD$7</f>
        <v>0</v>
      </c>
      <c r="BE29" s="61">
        <f>SUM('AC-SVC'!D29)</f>
        <v>0</v>
      </c>
      <c r="BF29" s="61">
        <f>SUM('AC-SVC'!G29)</f>
        <v>0</v>
      </c>
      <c r="BG29" s="61">
        <f>SUM('AC-SVC'!J29)</f>
        <v>0</v>
      </c>
      <c r="BH29" s="61">
        <f>SUM('AC-SVC'!M29)</f>
        <v>300</v>
      </c>
      <c r="BI29" s="61">
        <f>SUM('AC-SVC'!P29)*BI$7</f>
        <v>0</v>
      </c>
      <c r="BJ29" s="61">
        <f>SUM(PT!C29)</f>
        <v>0</v>
      </c>
      <c r="BK29" s="61">
        <f>SUM(CCLC!C29)</f>
        <v>0</v>
      </c>
      <c r="BL29" s="61">
        <f>SUM(FC!D29)</f>
        <v>0</v>
      </c>
      <c r="BM29" s="61">
        <f>SUM(FN!F29)*BM$7</f>
        <v>0</v>
      </c>
      <c r="BN29" s="61">
        <f>SUM(FS!D29)</f>
        <v>0</v>
      </c>
      <c r="BO29" s="61">
        <f>SUM(IT!D29)</f>
        <v>0</v>
      </c>
      <c r="BP29" s="84"/>
      <c r="BQ29" s="49">
        <f t="shared" si="1"/>
        <v>300</v>
      </c>
      <c r="BS29" s="95">
        <f>SUM(Sheet1!C29)</f>
        <v>0</v>
      </c>
      <c r="BT29" s="288">
        <f>SUM(Sheet1!I29)</f>
        <v>0</v>
      </c>
    </row>
    <row r="30" spans="1:72" ht="12">
      <c r="A30" s="31" t="s">
        <v>208</v>
      </c>
      <c r="B30" s="31" t="s">
        <v>287</v>
      </c>
      <c r="C30" s="23"/>
      <c r="D30" s="23">
        <f t="shared" si="2"/>
        <v>0</v>
      </c>
      <c r="E30" s="23">
        <f t="shared" si="0"/>
        <v>0</v>
      </c>
      <c r="F30" s="23">
        <f t="shared" si="3"/>
        <v>0</v>
      </c>
      <c r="G30" s="23"/>
      <c r="H30" s="23"/>
      <c r="I30" s="167"/>
      <c r="J30" s="23"/>
      <c r="K30" s="23"/>
      <c r="L30" s="23"/>
      <c r="M30" s="23"/>
      <c r="N30" s="8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84"/>
      <c r="AN30" s="23"/>
      <c r="AO30" s="23"/>
      <c r="AP30" s="23"/>
      <c r="AQ30" s="23"/>
      <c r="AR30" s="23"/>
      <c r="AS30" s="23"/>
      <c r="AT30" s="84"/>
      <c r="AU30" s="23"/>
      <c r="AV30" s="23"/>
      <c r="AW30" s="23"/>
      <c r="AX30" s="23"/>
      <c r="AY30" s="23"/>
      <c r="AZ30" s="23"/>
      <c r="BA30" s="23"/>
      <c r="BB30" s="23"/>
      <c r="BC30" s="84"/>
      <c r="BD30" s="61">
        <f>SUM('AC-SVC'!C30)*BD$7</f>
        <v>0</v>
      </c>
      <c r="BE30" s="61">
        <f>SUM('AC-SVC'!D30)</f>
        <v>0</v>
      </c>
      <c r="BF30" s="61">
        <f>SUM('AC-SVC'!G30)</f>
        <v>0</v>
      </c>
      <c r="BG30" s="61">
        <f>SUM('AC-SVC'!J30)</f>
        <v>0</v>
      </c>
      <c r="BH30" s="61">
        <f>SUM('AC-SVC'!M30)</f>
        <v>0</v>
      </c>
      <c r="BI30" s="61">
        <f>SUM('AC-SVC'!P30)*BI$7</f>
        <v>0</v>
      </c>
      <c r="BJ30" s="61">
        <f>SUM(PT!C30)</f>
        <v>0</v>
      </c>
      <c r="BK30" s="61">
        <f>SUM(CCLC!C30)</f>
        <v>0</v>
      </c>
      <c r="BL30" s="61">
        <f>SUM(FC!D30)</f>
        <v>0</v>
      </c>
      <c r="BM30" s="61">
        <f>SUM(FN!F30)*BM$7</f>
        <v>0</v>
      </c>
      <c r="BN30" s="61">
        <f>SUM(FS!D30)</f>
        <v>0</v>
      </c>
      <c r="BO30" s="61">
        <f>SUM(IT!D30)</f>
        <v>0</v>
      </c>
      <c r="BP30" s="84"/>
      <c r="BQ30" s="49">
        <f t="shared" si="1"/>
        <v>0</v>
      </c>
      <c r="BS30" s="95">
        <f>SUM(Sheet1!C30)</f>
        <v>0</v>
      </c>
      <c r="BT30" s="288">
        <f>SUM(Sheet1!I30)</f>
        <v>0</v>
      </c>
    </row>
    <row r="31" spans="1:72" ht="12">
      <c r="A31" s="31" t="s">
        <v>207</v>
      </c>
      <c r="B31" s="31" t="s">
        <v>288</v>
      </c>
      <c r="C31" s="23"/>
      <c r="D31" s="23">
        <f t="shared" si="2"/>
        <v>0</v>
      </c>
      <c r="E31" s="23">
        <f t="shared" si="0"/>
        <v>0</v>
      </c>
      <c r="F31" s="23">
        <f t="shared" si="3"/>
        <v>0</v>
      </c>
      <c r="G31" s="23"/>
      <c r="H31" s="23"/>
      <c r="I31" s="167"/>
      <c r="J31" s="23"/>
      <c r="K31" s="23"/>
      <c r="L31" s="23"/>
      <c r="M31" s="23"/>
      <c r="N31" s="84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84"/>
      <c r="AN31" s="23"/>
      <c r="AO31" s="23"/>
      <c r="AP31" s="23"/>
      <c r="AQ31" s="23"/>
      <c r="AR31" s="23"/>
      <c r="AS31" s="23"/>
      <c r="AT31" s="84"/>
      <c r="AU31" s="23"/>
      <c r="AV31" s="23"/>
      <c r="AW31" s="23"/>
      <c r="AX31" s="23"/>
      <c r="AY31" s="23"/>
      <c r="AZ31" s="23"/>
      <c r="BA31" s="23"/>
      <c r="BB31" s="23"/>
      <c r="BC31" s="84"/>
      <c r="BD31" s="61">
        <f>SUM('AC-SVC'!C31)*BD$7</f>
        <v>0</v>
      </c>
      <c r="BE31" s="61">
        <f>SUM('AC-SVC'!D31)</f>
        <v>0</v>
      </c>
      <c r="BF31" s="61">
        <f>SUM('AC-SVC'!G31)</f>
        <v>0</v>
      </c>
      <c r="BG31" s="61">
        <f>SUM('AC-SVC'!J31)</f>
        <v>0</v>
      </c>
      <c r="BH31" s="61">
        <f>SUM('AC-SVC'!M31)</f>
        <v>0</v>
      </c>
      <c r="BI31" s="61">
        <f>SUM('AC-SVC'!P31)*BI$7</f>
        <v>0</v>
      </c>
      <c r="BJ31" s="61">
        <f>SUM(PT!C31)</f>
        <v>0</v>
      </c>
      <c r="BK31" s="61">
        <f>SUM(CCLC!C31)</f>
        <v>0</v>
      </c>
      <c r="BL31" s="61">
        <f>SUM(FC!D31)</f>
        <v>0</v>
      </c>
      <c r="BM31" s="61">
        <f>SUM(FN!F31)*BM$7</f>
        <v>0</v>
      </c>
      <c r="BN31" s="61">
        <f>SUM(FS!D31)</f>
        <v>0</v>
      </c>
      <c r="BO31" s="61">
        <f>SUM(IT!D31)</f>
        <v>0</v>
      </c>
      <c r="BP31" s="84"/>
      <c r="BQ31" s="49">
        <f t="shared" si="1"/>
        <v>0</v>
      </c>
      <c r="BS31" s="95">
        <f>SUM(Sheet1!C31)</f>
        <v>4.95</v>
      </c>
      <c r="BT31" s="288">
        <v>0</v>
      </c>
    </row>
    <row r="32" spans="1:72" ht="12">
      <c r="A32" s="31" t="s">
        <v>209</v>
      </c>
      <c r="B32" s="31" t="s">
        <v>210</v>
      </c>
      <c r="C32" s="23"/>
      <c r="D32" s="23">
        <f t="shared" si="2"/>
        <v>0</v>
      </c>
      <c r="E32" s="23">
        <f t="shared" si="0"/>
        <v>0</v>
      </c>
      <c r="F32" s="23">
        <f t="shared" si="3"/>
        <v>0</v>
      </c>
      <c r="G32" s="23"/>
      <c r="H32" s="23"/>
      <c r="I32" s="167"/>
      <c r="J32" s="23"/>
      <c r="K32" s="23"/>
      <c r="L32" s="23"/>
      <c r="M32" s="23"/>
      <c r="N32" s="84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84"/>
      <c r="AN32" s="23"/>
      <c r="AO32" s="23"/>
      <c r="AP32" s="23"/>
      <c r="AQ32" s="23"/>
      <c r="AR32" s="23"/>
      <c r="AS32" s="23"/>
      <c r="AT32" s="84"/>
      <c r="AU32" s="23"/>
      <c r="AV32" s="23"/>
      <c r="AW32" s="23"/>
      <c r="AX32" s="23"/>
      <c r="AY32" s="23"/>
      <c r="AZ32" s="23"/>
      <c r="BA32" s="23"/>
      <c r="BB32" s="23"/>
      <c r="BC32" s="84"/>
      <c r="BD32" s="61">
        <f>SUM('AC-SVC'!C32)*BD$7</f>
        <v>0</v>
      </c>
      <c r="BE32" s="61">
        <f>SUM('AC-SVC'!D32)</f>
        <v>0</v>
      </c>
      <c r="BF32" s="61">
        <f>SUM('AC-SVC'!G32)</f>
        <v>0</v>
      </c>
      <c r="BG32" s="61">
        <f>SUM('AC-SVC'!J32)</f>
        <v>0</v>
      </c>
      <c r="BH32" s="61">
        <f>SUM('AC-SVC'!M32)</f>
        <v>0</v>
      </c>
      <c r="BI32" s="61">
        <f>SUM('AC-SVC'!P32)*BI$7</f>
        <v>0</v>
      </c>
      <c r="BJ32" s="61">
        <f>SUM(PT!C32)</f>
        <v>0</v>
      </c>
      <c r="BK32" s="61">
        <f>SUM(CCLC!C32)</f>
        <v>0</v>
      </c>
      <c r="BL32" s="61">
        <f>SUM(FC!D32)</f>
        <v>0</v>
      </c>
      <c r="BM32" s="61">
        <f>SUM(FN!F32)*BM$7</f>
        <v>0</v>
      </c>
      <c r="BN32" s="61">
        <f>SUM(FS!D32)</f>
        <v>0</v>
      </c>
      <c r="BO32" s="61">
        <f>SUM(IT!D32)</f>
        <v>0</v>
      </c>
      <c r="BP32" s="84"/>
      <c r="BQ32" s="49">
        <f t="shared" si="1"/>
        <v>0</v>
      </c>
      <c r="BS32" s="95">
        <f>SUM(Sheet1!C32)</f>
        <v>0</v>
      </c>
      <c r="BT32" s="288">
        <f>SUM(Sheet1!I32)</f>
        <v>0</v>
      </c>
    </row>
    <row r="33" spans="1:72" ht="12">
      <c r="A33" s="31" t="s">
        <v>213</v>
      </c>
      <c r="B33" s="31" t="s">
        <v>214</v>
      </c>
      <c r="C33" s="23">
        <v>25000</v>
      </c>
      <c r="D33" s="23">
        <f t="shared" si="2"/>
        <v>0</v>
      </c>
      <c r="E33" s="23">
        <f t="shared" si="0"/>
        <v>0</v>
      </c>
      <c r="F33" s="23">
        <f t="shared" si="3"/>
        <v>0</v>
      </c>
      <c r="G33" s="23"/>
      <c r="H33" s="23"/>
      <c r="I33" s="167"/>
      <c r="J33" s="23"/>
      <c r="K33" s="23"/>
      <c r="L33" s="23"/>
      <c r="M33" s="23"/>
      <c r="N33" s="8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4"/>
      <c r="AN33" s="23"/>
      <c r="AO33" s="23"/>
      <c r="AP33" s="23"/>
      <c r="AQ33" s="23"/>
      <c r="AR33" s="23"/>
      <c r="AS33" s="23"/>
      <c r="AT33" s="84"/>
      <c r="AU33" s="23"/>
      <c r="AV33" s="23"/>
      <c r="AW33" s="23"/>
      <c r="AX33" s="23"/>
      <c r="AY33" s="23"/>
      <c r="AZ33" s="23"/>
      <c r="BA33" s="23"/>
      <c r="BB33" s="23"/>
      <c r="BC33" s="84"/>
      <c r="BD33" s="61">
        <f>SUM('AC-SVC'!C33)*BD$7</f>
        <v>0</v>
      </c>
      <c r="BE33" s="61">
        <f>SUM('AC-SVC'!D33)</f>
        <v>0</v>
      </c>
      <c r="BF33" s="61">
        <f>SUM('AC-SVC'!G33)</f>
        <v>0</v>
      </c>
      <c r="BG33" s="61">
        <f>SUM('AC-SVC'!J33)</f>
        <v>0</v>
      </c>
      <c r="BH33" s="61">
        <f>SUM('AC-SVC'!M33)</f>
        <v>0</v>
      </c>
      <c r="BI33" s="61">
        <f>SUM('AC-SVC'!P33)*BI$7</f>
        <v>0</v>
      </c>
      <c r="BJ33" s="61">
        <f>SUM(PT!C33)</f>
        <v>0</v>
      </c>
      <c r="BK33" s="61">
        <f>SUM(CCLC!C33)</f>
        <v>0</v>
      </c>
      <c r="BL33" s="61">
        <f>SUM(FC!D33)</f>
        <v>0</v>
      </c>
      <c r="BM33" s="61">
        <f>SUM(FN!F33)*BM$7</f>
        <v>0</v>
      </c>
      <c r="BN33" s="61">
        <f>SUM(FS!D33)</f>
        <v>0</v>
      </c>
      <c r="BO33" s="61">
        <f>SUM(IT!D33)</f>
        <v>0</v>
      </c>
      <c r="BP33" s="84"/>
      <c r="BQ33" s="49">
        <f t="shared" si="1"/>
        <v>25000</v>
      </c>
      <c r="BS33" s="95">
        <f>SUM(Sheet1!C33)</f>
        <v>0</v>
      </c>
      <c r="BT33" s="288">
        <f>SUM(Sheet1!I33)</f>
        <v>0</v>
      </c>
    </row>
    <row r="34" spans="1:72" ht="12">
      <c r="A34" s="31" t="s">
        <v>212</v>
      </c>
      <c r="B34" s="31" t="s">
        <v>289</v>
      </c>
      <c r="C34" s="23"/>
      <c r="D34" s="23">
        <f t="shared" si="2"/>
        <v>0</v>
      </c>
      <c r="E34" s="23">
        <f t="shared" si="0"/>
        <v>0</v>
      </c>
      <c r="F34" s="23">
        <f t="shared" si="3"/>
        <v>0</v>
      </c>
      <c r="G34" s="23"/>
      <c r="H34" s="23"/>
      <c r="I34" s="167"/>
      <c r="J34" s="23"/>
      <c r="K34" s="23"/>
      <c r="L34" s="23"/>
      <c r="M34" s="23"/>
      <c r="N34" s="84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84"/>
      <c r="AN34" s="23"/>
      <c r="AO34" s="23"/>
      <c r="AP34" s="23"/>
      <c r="AQ34" s="23"/>
      <c r="AR34" s="23"/>
      <c r="AS34" s="23"/>
      <c r="AT34" s="84"/>
      <c r="AU34" s="23"/>
      <c r="AV34" s="23"/>
      <c r="AW34" s="23"/>
      <c r="AX34" s="23"/>
      <c r="AY34" s="23"/>
      <c r="AZ34" s="23"/>
      <c r="BA34" s="23"/>
      <c r="BB34" s="23"/>
      <c r="BC34" s="84"/>
      <c r="BD34" s="61">
        <f>SUM('AC-SVC'!C34)*BD$7</f>
        <v>0</v>
      </c>
      <c r="BE34" s="61">
        <f>SUM('AC-SVC'!D34)</f>
        <v>0</v>
      </c>
      <c r="BF34" s="61">
        <f>SUM('AC-SVC'!G34)</f>
        <v>0</v>
      </c>
      <c r="BG34" s="61">
        <f>SUM('AC-SVC'!J34)</f>
        <v>0</v>
      </c>
      <c r="BH34" s="61">
        <f>SUM('AC-SVC'!M34)</f>
        <v>0</v>
      </c>
      <c r="BI34" s="61">
        <f>SUM('AC-SVC'!P34)*BI$7</f>
        <v>0</v>
      </c>
      <c r="BJ34" s="61">
        <f>SUM(PT!C34)</f>
        <v>7200</v>
      </c>
      <c r="BK34" s="61">
        <f>SUM(CCLC!C34)</f>
        <v>0</v>
      </c>
      <c r="BL34" s="61">
        <f>SUM(FC!D34)</f>
        <v>0</v>
      </c>
      <c r="BM34" s="61">
        <f>SUM(FN!F34)*BM$7</f>
        <v>0</v>
      </c>
      <c r="BN34" s="61">
        <f>SUM(FS!D34)</f>
        <v>0</v>
      </c>
      <c r="BO34" s="61">
        <f>SUM(IT!D34)</f>
        <v>0</v>
      </c>
      <c r="BP34" s="84"/>
      <c r="BQ34" s="49">
        <f t="shared" si="1"/>
        <v>7200</v>
      </c>
      <c r="BS34" s="95">
        <f>SUM(Sheet1!C34)</f>
        <v>0</v>
      </c>
      <c r="BT34" s="288">
        <f>SUM(Sheet1!I34)</f>
        <v>0</v>
      </c>
    </row>
    <row r="35" spans="1:72" ht="12">
      <c r="A35" s="31" t="s">
        <v>211</v>
      </c>
      <c r="B35" s="31" t="s">
        <v>290</v>
      </c>
      <c r="C35" s="23"/>
      <c r="D35" s="23">
        <f t="shared" si="2"/>
        <v>0</v>
      </c>
      <c r="E35" s="23">
        <f t="shared" si="0"/>
        <v>0</v>
      </c>
      <c r="F35" s="23">
        <f t="shared" si="3"/>
        <v>0</v>
      </c>
      <c r="G35" s="23"/>
      <c r="H35" s="23"/>
      <c r="I35" s="167"/>
      <c r="J35" s="23"/>
      <c r="K35" s="23"/>
      <c r="L35" s="23"/>
      <c r="M35" s="23"/>
      <c r="N35" s="84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84"/>
      <c r="AN35" s="23"/>
      <c r="AO35" s="23"/>
      <c r="AP35" s="23"/>
      <c r="AQ35" s="23"/>
      <c r="AR35" s="23"/>
      <c r="AS35" s="23"/>
      <c r="AT35" s="84"/>
      <c r="AU35" s="23"/>
      <c r="AV35" s="23"/>
      <c r="AW35" s="23"/>
      <c r="AX35" s="23"/>
      <c r="AY35" s="23"/>
      <c r="AZ35" s="23"/>
      <c r="BA35" s="23"/>
      <c r="BB35" s="23"/>
      <c r="BC35" s="84"/>
      <c r="BD35" s="61">
        <f>SUM('AC-SVC'!C35)*BD$7</f>
        <v>0</v>
      </c>
      <c r="BE35" s="61">
        <f>SUM('AC-SVC'!D35)</f>
        <v>0</v>
      </c>
      <c r="BF35" s="61">
        <f>SUM('AC-SVC'!G35)</f>
        <v>0</v>
      </c>
      <c r="BG35" s="61">
        <f>SUM('AC-SVC'!J35)</f>
        <v>0</v>
      </c>
      <c r="BH35" s="61">
        <f>SUM('AC-SVC'!M35)</f>
        <v>0</v>
      </c>
      <c r="BI35" s="61">
        <f>SUM('AC-SVC'!P35)*BI$7</f>
        <v>0</v>
      </c>
      <c r="BJ35" s="61">
        <f>SUM(PT!C35)</f>
        <v>0</v>
      </c>
      <c r="BK35" s="61">
        <f>SUM(CCLC!C35)</f>
        <v>0</v>
      </c>
      <c r="BL35" s="61">
        <f>SUM(FC!D35)</f>
        <v>0</v>
      </c>
      <c r="BM35" s="61">
        <f>SUM(FN!F35)*BM$7</f>
        <v>0</v>
      </c>
      <c r="BN35" s="61">
        <f>SUM(FS!D35)</f>
        <v>0</v>
      </c>
      <c r="BO35" s="61">
        <f>SUM(IT!D35)</f>
        <v>0</v>
      </c>
      <c r="BP35" s="84"/>
      <c r="BQ35" s="49">
        <f t="shared" si="1"/>
        <v>0</v>
      </c>
      <c r="BS35" s="95">
        <f>SUM(Sheet1!C35)</f>
        <v>2929.86</v>
      </c>
      <c r="BT35" s="288">
        <f>SUM(Sheet1!I35)</f>
        <v>1768.9720754716982</v>
      </c>
    </row>
    <row r="36" spans="1:72" ht="12">
      <c r="A36" s="31" t="s">
        <v>215</v>
      </c>
      <c r="B36" s="31" t="s">
        <v>291</v>
      </c>
      <c r="C36" s="23"/>
      <c r="D36" s="23">
        <f t="shared" si="2"/>
        <v>0</v>
      </c>
      <c r="E36" s="23">
        <f t="shared" si="0"/>
        <v>0</v>
      </c>
      <c r="F36" s="23">
        <f t="shared" si="3"/>
        <v>0</v>
      </c>
      <c r="G36" s="23"/>
      <c r="H36" s="23"/>
      <c r="I36" s="167"/>
      <c r="J36" s="23"/>
      <c r="K36" s="23"/>
      <c r="L36" s="23"/>
      <c r="M36" s="23"/>
      <c r="N36" s="84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84"/>
      <c r="AN36" s="23"/>
      <c r="AO36" s="23"/>
      <c r="AP36" s="23"/>
      <c r="AQ36" s="23"/>
      <c r="AR36" s="23"/>
      <c r="AS36" s="23"/>
      <c r="AT36" s="84"/>
      <c r="AU36" s="23"/>
      <c r="AV36" s="23"/>
      <c r="AW36" s="23"/>
      <c r="AX36" s="23"/>
      <c r="AY36" s="23"/>
      <c r="AZ36" s="23"/>
      <c r="BA36" s="23"/>
      <c r="BB36" s="23"/>
      <c r="BC36" s="84"/>
      <c r="BD36" s="61">
        <f>SUM('AC-SVC'!C36)*BD$7</f>
        <v>0</v>
      </c>
      <c r="BE36" s="61">
        <f>SUM('AC-SVC'!D36)</f>
        <v>0</v>
      </c>
      <c r="BF36" s="61">
        <f>SUM('AC-SVC'!G36)</f>
        <v>0</v>
      </c>
      <c r="BG36" s="61">
        <f>SUM('AC-SVC'!J36)</f>
        <v>0</v>
      </c>
      <c r="BH36" s="61">
        <f>SUM('AC-SVC'!M36)</f>
        <v>0</v>
      </c>
      <c r="BI36" s="61">
        <f>SUM('AC-SVC'!P36)*BI$7</f>
        <v>0</v>
      </c>
      <c r="BJ36" s="61">
        <f>SUM(PT!C36)</f>
        <v>0</v>
      </c>
      <c r="BK36" s="61">
        <f>SUM(CCLC!C36)</f>
        <v>0</v>
      </c>
      <c r="BL36" s="61">
        <f>SUM(FC!D36)</f>
        <v>0</v>
      </c>
      <c r="BM36" s="61">
        <f>SUM(FN!F36)*BM$7</f>
        <v>0</v>
      </c>
      <c r="BN36" s="61">
        <f>SUM(FS!D36)</f>
        <v>0</v>
      </c>
      <c r="BO36" s="61">
        <f>SUM(IT!D36)</f>
        <v>0</v>
      </c>
      <c r="BP36" s="84"/>
      <c r="BQ36" s="49">
        <f t="shared" si="1"/>
        <v>0</v>
      </c>
      <c r="BS36" s="95">
        <f>SUM(Sheet1!C36)</f>
        <v>0</v>
      </c>
      <c r="BT36" s="288">
        <f>SUM(Sheet1!I36)</f>
        <v>0</v>
      </c>
    </row>
    <row r="37" spans="1:72" ht="12">
      <c r="A37" s="31" t="s">
        <v>216</v>
      </c>
      <c r="B37" s="31" t="s">
        <v>292</v>
      </c>
      <c r="C37" s="169"/>
      <c r="D37" s="169">
        <f t="shared" si="2"/>
        <v>0</v>
      </c>
      <c r="E37" s="169">
        <f t="shared" si="0"/>
        <v>0</v>
      </c>
      <c r="F37" s="169">
        <f t="shared" si="3"/>
        <v>0</v>
      </c>
      <c r="G37" s="169"/>
      <c r="H37" s="169"/>
      <c r="I37" s="167"/>
      <c r="J37" s="169"/>
      <c r="K37" s="169"/>
      <c r="L37" s="169"/>
      <c r="M37" s="169"/>
      <c r="N37" s="173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73"/>
      <c r="AN37" s="169"/>
      <c r="AO37" s="169"/>
      <c r="AP37" s="169"/>
      <c r="AQ37" s="169"/>
      <c r="AR37" s="169"/>
      <c r="AS37" s="169"/>
      <c r="AT37" s="173"/>
      <c r="AU37" s="169"/>
      <c r="AV37" s="169"/>
      <c r="AW37" s="169"/>
      <c r="AX37" s="169"/>
      <c r="AY37" s="169"/>
      <c r="AZ37" s="169"/>
      <c r="BA37" s="169"/>
      <c r="BB37" s="169"/>
      <c r="BC37" s="84"/>
      <c r="BD37" s="20">
        <f>SUM('AC-SVC'!C37)*BD$7</f>
        <v>0</v>
      </c>
      <c r="BE37" s="20">
        <f>SUM('AC-SVC'!D37)</f>
        <v>0</v>
      </c>
      <c r="BF37" s="20">
        <f>SUM('AC-SVC'!G37)</f>
        <v>0</v>
      </c>
      <c r="BG37" s="20">
        <f>SUM('AC-SVC'!J37)</f>
        <v>0</v>
      </c>
      <c r="BH37" s="20">
        <f>SUM('AC-SVC'!M37)</f>
        <v>0</v>
      </c>
      <c r="BI37" s="20">
        <f>SUM('AC-SVC'!P37)*BI$7</f>
        <v>0</v>
      </c>
      <c r="BJ37" s="20">
        <f>SUM(PT!C37)</f>
        <v>0</v>
      </c>
      <c r="BK37" s="20">
        <f>SUM(CCLC!C37)</f>
        <v>0</v>
      </c>
      <c r="BL37" s="20">
        <f>SUM(FC!D37)</f>
        <v>0</v>
      </c>
      <c r="BM37" s="20">
        <f>SUM(FN!F37)*BM$7</f>
        <v>0</v>
      </c>
      <c r="BN37" s="20">
        <f>SUM(FS!D37)</f>
        <v>0</v>
      </c>
      <c r="BO37" s="20">
        <f>SUM(IT!D37)</f>
        <v>0</v>
      </c>
      <c r="BP37" s="84"/>
      <c r="BQ37" s="63">
        <f t="shared" si="1"/>
        <v>0</v>
      </c>
      <c r="BS37" s="96">
        <f>SUM(Sheet1!C37)</f>
        <v>0</v>
      </c>
      <c r="BT37" s="288">
        <f>SUM(Sheet1!I37)</f>
        <v>0</v>
      </c>
    </row>
    <row r="38" spans="1:72" s="30" customFormat="1" ht="10">
      <c r="A38" s="31"/>
      <c r="B38" s="31" t="s">
        <v>293</v>
      </c>
      <c r="C38" s="49">
        <f t="shared" ref="C38:H38" si="4">SUM(C13:C37)</f>
        <v>364000</v>
      </c>
      <c r="D38" s="49">
        <f t="shared" si="4"/>
        <v>0</v>
      </c>
      <c r="E38" s="49">
        <f t="shared" si="4"/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170"/>
      <c r="J38" s="49">
        <f t="shared" ref="J38" si="5">SUM(J13:J37)</f>
        <v>0</v>
      </c>
      <c r="K38" s="49">
        <f t="shared" ref="K38" si="6">SUM(K13:K37)</f>
        <v>0</v>
      </c>
      <c r="L38" s="49">
        <f t="shared" ref="L38" si="7">SUM(L13:L37)</f>
        <v>0</v>
      </c>
      <c r="M38" s="49">
        <f t="shared" ref="M38" si="8">SUM(M13:M37)</f>
        <v>0</v>
      </c>
      <c r="N38" s="171"/>
      <c r="O38" s="49">
        <f t="shared" ref="O38" si="9">SUM(O13:O37)</f>
        <v>0</v>
      </c>
      <c r="P38" s="49">
        <f t="shared" ref="P38" si="10">SUM(P13:P37)</f>
        <v>0</v>
      </c>
      <c r="Q38" s="49">
        <f t="shared" ref="Q38" si="11">SUM(Q13:Q37)</f>
        <v>0</v>
      </c>
      <c r="R38" s="49">
        <f t="shared" ref="R38" si="12">SUM(R13:R37)</f>
        <v>0</v>
      </c>
      <c r="S38" s="49">
        <f t="shared" ref="S38" si="13">SUM(S13:S37)</f>
        <v>0</v>
      </c>
      <c r="T38" s="49">
        <f t="shared" ref="T38" si="14">SUM(T13:T37)</f>
        <v>0</v>
      </c>
      <c r="U38" s="49">
        <f t="shared" ref="U38" si="15">SUM(U13:U37)</f>
        <v>0</v>
      </c>
      <c r="V38" s="49">
        <f t="shared" ref="V38" si="16">SUM(V13:V37)</f>
        <v>0</v>
      </c>
      <c r="W38" s="49">
        <f t="shared" ref="W38" si="17">SUM(W13:W37)</f>
        <v>0</v>
      </c>
      <c r="X38" s="49">
        <f t="shared" ref="X38" si="18">SUM(X13:X37)</f>
        <v>0</v>
      </c>
      <c r="Y38" s="49">
        <f t="shared" ref="Y38" si="19">SUM(Y13:Y37)</f>
        <v>0</v>
      </c>
      <c r="Z38" s="49">
        <f t="shared" ref="Z38" si="20">SUM(Z13:Z37)</f>
        <v>0</v>
      </c>
      <c r="AA38" s="49">
        <f t="shared" ref="AA38" si="21">SUM(AA13:AA37)</f>
        <v>0</v>
      </c>
      <c r="AB38" s="49">
        <f t="shared" ref="AB38" si="22">SUM(AB13:AB37)</f>
        <v>0</v>
      </c>
      <c r="AC38" s="49">
        <f t="shared" ref="AC38" si="23">SUM(AC13:AC37)</f>
        <v>0</v>
      </c>
      <c r="AD38" s="49">
        <f t="shared" ref="AD38" si="24">SUM(AD13:AD37)</f>
        <v>0</v>
      </c>
      <c r="AE38" s="49">
        <f t="shared" ref="AE38" si="25">SUM(AE13:AE37)</f>
        <v>0</v>
      </c>
      <c r="AF38" s="49">
        <f t="shared" ref="AF38" si="26">SUM(AF13:AF37)</f>
        <v>0</v>
      </c>
      <c r="AG38" s="49">
        <f t="shared" ref="AG38" si="27">SUM(AG13:AG37)</f>
        <v>0</v>
      </c>
      <c r="AH38" s="49">
        <f t="shared" ref="AH38" si="28">SUM(AH13:AH37)</f>
        <v>0</v>
      </c>
      <c r="AI38" s="49">
        <f t="shared" ref="AI38" si="29">SUM(AI13:AI37)</f>
        <v>0</v>
      </c>
      <c r="AJ38" s="49">
        <f t="shared" ref="AJ38" si="30">SUM(AJ13:AJ37)</f>
        <v>0</v>
      </c>
      <c r="AK38" s="49">
        <f t="shared" ref="AK38" si="31">SUM(AK13:AK37)</f>
        <v>0</v>
      </c>
      <c r="AL38" s="49">
        <f t="shared" ref="AL38" si="32">SUM(AL13:AL37)</f>
        <v>0</v>
      </c>
      <c r="AM38" s="171"/>
      <c r="AN38" s="49">
        <f t="shared" ref="AN38" si="33">SUM(AN13:AN37)</f>
        <v>0</v>
      </c>
      <c r="AO38" s="49">
        <f t="shared" ref="AO38" si="34">SUM(AO13:AO37)</f>
        <v>0</v>
      </c>
      <c r="AP38" s="49">
        <f t="shared" ref="AP38" si="35">SUM(AP13:AP37)</f>
        <v>0</v>
      </c>
      <c r="AQ38" s="49">
        <f t="shared" ref="AQ38" si="36">SUM(AQ13:AQ37)</f>
        <v>0</v>
      </c>
      <c r="AR38" s="49">
        <f t="shared" ref="AR38" si="37">SUM(AR13:AR37)</f>
        <v>0</v>
      </c>
      <c r="AS38" s="49">
        <f t="shared" ref="AS38" si="38">SUM(AS13:AS37)</f>
        <v>0</v>
      </c>
      <c r="AT38" s="171"/>
      <c r="AU38" s="49">
        <f t="shared" ref="AU38" si="39">SUM(AU13:AU37)</f>
        <v>0</v>
      </c>
      <c r="AV38" s="49">
        <f t="shared" ref="AV38" si="40">SUM(AV13:AV37)</f>
        <v>0</v>
      </c>
      <c r="AW38" s="49">
        <f t="shared" ref="AW38" si="41">SUM(AW13:AW37)</f>
        <v>0</v>
      </c>
      <c r="AX38" s="49">
        <f t="shared" ref="AX38" si="42">SUM(AX13:AX37)</f>
        <v>0</v>
      </c>
      <c r="AY38" s="49">
        <f t="shared" ref="AY38" si="43">SUM(AY13:AY37)</f>
        <v>0</v>
      </c>
      <c r="AZ38" s="49">
        <f t="shared" ref="AZ38" si="44">SUM(AZ13:AZ37)</f>
        <v>0</v>
      </c>
      <c r="BA38" s="49">
        <f t="shared" ref="BA38" si="45">SUM(BA13:BA37)</f>
        <v>0</v>
      </c>
      <c r="BB38" s="49">
        <f t="shared" ref="BB38" si="46">SUM(BB13:BB37)</f>
        <v>0</v>
      </c>
      <c r="BC38" s="171"/>
      <c r="BD38" s="41">
        <f t="shared" ref="BD38:BI38" si="47">+SUM(BD13:BD37)</f>
        <v>0</v>
      </c>
      <c r="BE38" s="49">
        <f t="shared" si="47"/>
        <v>0</v>
      </c>
      <c r="BF38" s="41">
        <f t="shared" si="47"/>
        <v>0</v>
      </c>
      <c r="BG38" s="41">
        <f t="shared" si="47"/>
        <v>0</v>
      </c>
      <c r="BH38" s="41">
        <f t="shared" si="47"/>
        <v>800</v>
      </c>
      <c r="BI38" s="41">
        <f t="shared" si="47"/>
        <v>0</v>
      </c>
      <c r="BJ38" s="41">
        <f>+SUM(BJ13:BJ37)</f>
        <v>74700</v>
      </c>
      <c r="BK38" s="41">
        <f>+SUM(BK13:BK37)</f>
        <v>0</v>
      </c>
      <c r="BL38" s="41">
        <f>+SUM(BL13:BL37)</f>
        <v>0</v>
      </c>
      <c r="BM38" s="41">
        <f t="shared" ref="BM38" si="48">+SUM(BM13:BM37)</f>
        <v>0</v>
      </c>
      <c r="BN38" s="41">
        <f>+SUM(BN13:BN37)</f>
        <v>102400</v>
      </c>
      <c r="BO38" s="41">
        <f t="shared" ref="BO38" si="49">+SUM(BO13:BO37)</f>
        <v>0</v>
      </c>
      <c r="BP38" s="171"/>
      <c r="BQ38" s="41">
        <f>SUM(BQ13:BQ37)</f>
        <v>541900</v>
      </c>
      <c r="BS38" s="94">
        <f>SUM(BS13:BS37)</f>
        <v>403402.44999999995</v>
      </c>
      <c r="BT38" s="293">
        <f>SUM(BT13:BT37)</f>
        <v>457297.90188679245</v>
      </c>
    </row>
    <row r="39" spans="1:72">
      <c r="C39" s="23"/>
      <c r="D39" s="23"/>
      <c r="E39" s="23"/>
      <c r="F39" s="23"/>
      <c r="G39" s="23"/>
      <c r="H39" s="23"/>
      <c r="I39" s="167"/>
      <c r="J39" s="23"/>
      <c r="K39" s="23"/>
      <c r="L39" s="23"/>
      <c r="M39" s="23"/>
      <c r="N39" s="8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84"/>
      <c r="AN39" s="23"/>
      <c r="AO39" s="23"/>
      <c r="AP39" s="23"/>
      <c r="AQ39" s="23"/>
      <c r="AR39" s="23"/>
      <c r="AS39" s="23"/>
      <c r="AT39" s="84"/>
      <c r="AU39" s="23"/>
      <c r="AV39" s="23"/>
      <c r="AW39" s="23"/>
      <c r="AX39" s="23"/>
      <c r="AY39" s="23"/>
      <c r="AZ39" s="23"/>
      <c r="BA39" s="23"/>
      <c r="BB39" s="23"/>
      <c r="BC39" s="84"/>
      <c r="BD39" s="21"/>
      <c r="BE39" s="23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84"/>
      <c r="BS39" s="94"/>
    </row>
    <row r="40" spans="1:72">
      <c r="A40" s="31" t="s">
        <v>294</v>
      </c>
      <c r="C40" s="23"/>
      <c r="D40" s="23"/>
      <c r="E40" s="23"/>
      <c r="F40" s="23"/>
      <c r="G40" s="23"/>
      <c r="H40" s="23"/>
      <c r="I40" s="167"/>
      <c r="J40" s="23"/>
      <c r="K40" s="23"/>
      <c r="L40" s="23"/>
      <c r="M40" s="23"/>
      <c r="N40" s="84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84"/>
      <c r="AN40" s="23"/>
      <c r="AO40" s="23"/>
      <c r="AP40" s="23"/>
      <c r="AQ40" s="23"/>
      <c r="AR40" s="23"/>
      <c r="AS40" s="23"/>
      <c r="AT40" s="84"/>
      <c r="AU40" s="23"/>
      <c r="AV40" s="23"/>
      <c r="AW40" s="23"/>
      <c r="AX40" s="23"/>
      <c r="AY40" s="23"/>
      <c r="AZ40" s="23"/>
      <c r="BA40" s="23"/>
      <c r="BB40" s="23"/>
      <c r="BC40" s="84"/>
      <c r="BD40" s="21"/>
      <c r="BE40" s="23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84"/>
      <c r="BS40" s="94"/>
    </row>
    <row r="41" spans="1:72" ht="12">
      <c r="A41" s="31" t="s">
        <v>217</v>
      </c>
      <c r="B41" s="31" t="s">
        <v>295</v>
      </c>
      <c r="C41" s="23">
        <f>SUM(SUM!B4*SUM!C2)</f>
        <v>5456640</v>
      </c>
      <c r="D41" s="23">
        <f t="shared" ref="D41:D48" si="50">SUM(J41:M41)</f>
        <v>0</v>
      </c>
      <c r="E41" s="23">
        <f t="shared" ref="E41:E48" si="51">SUM(O41:AS41)</f>
        <v>0</v>
      </c>
      <c r="F41" s="23">
        <f t="shared" ref="F41:F48" si="52">SUM(AU41:BB41)</f>
        <v>0</v>
      </c>
      <c r="G41" s="23"/>
      <c r="H41" s="23"/>
      <c r="I41" s="167"/>
      <c r="J41" s="23"/>
      <c r="K41" s="23"/>
      <c r="L41" s="23"/>
      <c r="M41" s="23"/>
      <c r="N41" s="84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84"/>
      <c r="AN41" s="23"/>
      <c r="AO41" s="23"/>
      <c r="AP41" s="23"/>
      <c r="AQ41" s="23"/>
      <c r="AR41" s="23"/>
      <c r="AS41" s="23"/>
      <c r="AT41" s="84"/>
      <c r="AU41" s="23"/>
      <c r="AV41" s="23"/>
      <c r="AW41" s="23"/>
      <c r="AX41" s="23"/>
      <c r="AY41" s="23"/>
      <c r="AZ41" s="23"/>
      <c r="BA41" s="23"/>
      <c r="BB41" s="23"/>
      <c r="BC41" s="84"/>
      <c r="BD41" s="61">
        <f>SUM('AC-SVC'!C41)*BD$7</f>
        <v>0</v>
      </c>
      <c r="BE41" s="61">
        <f>SUM('AC-SVC'!D41)</f>
        <v>0</v>
      </c>
      <c r="BF41" s="61">
        <f>SUM('AC-SVC'!G41)</f>
        <v>0</v>
      </c>
      <c r="BG41" s="61">
        <f>SUM('AC-SVC'!J41)</f>
        <v>0</v>
      </c>
      <c r="BH41" s="61">
        <f>SUM('AC-SVC'!M41)</f>
        <v>0</v>
      </c>
      <c r="BI41" s="61">
        <f>SUM('AC-SVC'!P41)*BI$7</f>
        <v>0</v>
      </c>
      <c r="BJ41" s="61">
        <f>SUM(PT!C41)</f>
        <v>0</v>
      </c>
      <c r="BK41" s="61">
        <f>SUM(CCLC!C41)</f>
        <v>0</v>
      </c>
      <c r="BL41" s="61">
        <f>SUM(FC!D41)</f>
        <v>0</v>
      </c>
      <c r="BM41" s="61">
        <f>SUM(FN!F41)*BM$7</f>
        <v>0</v>
      </c>
      <c r="BN41" s="61">
        <f>SUM(FS!D41)</f>
        <v>0</v>
      </c>
      <c r="BO41" s="61">
        <f>SUM(IT!D41)</f>
        <v>0</v>
      </c>
      <c r="BP41" s="84"/>
      <c r="BQ41" s="49">
        <f t="shared" ref="BQ41:BQ48" si="53">SUM(C41:H41)+SUM(BD41:BO41)</f>
        <v>5456640</v>
      </c>
      <c r="BS41" s="95">
        <f>SUM(Sheet1!C41)</f>
        <v>5186001</v>
      </c>
      <c r="BT41" s="288">
        <f>SUM!C2*SUM!B4</f>
        <v>5456640</v>
      </c>
    </row>
    <row r="42" spans="1:72" ht="12">
      <c r="A42" s="31" t="s">
        <v>218</v>
      </c>
      <c r="B42" s="31" t="s">
        <v>219</v>
      </c>
      <c r="C42" s="23">
        <f>6000*6+4000*6</f>
        <v>60000</v>
      </c>
      <c r="D42" s="23">
        <f t="shared" si="50"/>
        <v>0</v>
      </c>
      <c r="E42" s="23">
        <f t="shared" si="51"/>
        <v>0</v>
      </c>
      <c r="F42" s="23">
        <f t="shared" si="52"/>
        <v>0</v>
      </c>
      <c r="G42" s="23"/>
      <c r="H42" s="23"/>
      <c r="I42" s="167"/>
      <c r="J42" s="23"/>
      <c r="K42" s="23"/>
      <c r="L42" s="23"/>
      <c r="M42" s="23"/>
      <c r="N42" s="84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84"/>
      <c r="AN42" s="23"/>
      <c r="AO42" s="23"/>
      <c r="AP42" s="23"/>
      <c r="AQ42" s="23"/>
      <c r="AR42" s="23"/>
      <c r="AS42" s="23"/>
      <c r="AT42" s="84"/>
      <c r="AU42" s="23"/>
      <c r="AV42" s="23"/>
      <c r="AW42" s="23"/>
      <c r="AX42" s="23"/>
      <c r="AY42" s="23"/>
      <c r="AZ42" s="23"/>
      <c r="BA42" s="23"/>
      <c r="BB42" s="23"/>
      <c r="BC42" s="84"/>
      <c r="BD42" s="61">
        <f>SUM('AC-SVC'!C42)*BD$7</f>
        <v>0</v>
      </c>
      <c r="BE42" s="61">
        <f>SUM('AC-SVC'!D42)</f>
        <v>0</v>
      </c>
      <c r="BF42" s="61">
        <f>SUM('AC-SVC'!G42)</f>
        <v>0</v>
      </c>
      <c r="BG42" s="61">
        <f>SUM('AC-SVC'!J42)</f>
        <v>0</v>
      </c>
      <c r="BH42" s="61">
        <f>SUM('AC-SVC'!M42)</f>
        <v>0</v>
      </c>
      <c r="BI42" s="61">
        <f>SUM('AC-SVC'!P42)*BI$7</f>
        <v>0</v>
      </c>
      <c r="BJ42" s="61">
        <f>SUM(PT!C42)</f>
        <v>0</v>
      </c>
      <c r="BK42" s="61">
        <f>SUM(CCLC!C42)</f>
        <v>0</v>
      </c>
      <c r="BL42" s="61">
        <f>SUM(FC!D42)</f>
        <v>0</v>
      </c>
      <c r="BM42" s="61">
        <f>SUM(FN!F42)*BM$7</f>
        <v>0</v>
      </c>
      <c r="BN42" s="61">
        <f>SUM(FS!D42)</f>
        <v>0</v>
      </c>
      <c r="BO42" s="61">
        <f>SUM(IT!D42)</f>
        <v>0</v>
      </c>
      <c r="BP42" s="84"/>
      <c r="BQ42" s="49">
        <f t="shared" si="53"/>
        <v>60000</v>
      </c>
      <c r="BS42" s="95">
        <f>SUM(Sheet1!C42)</f>
        <v>111963.69</v>
      </c>
      <c r="BT42" s="288">
        <f>BQ42</f>
        <v>60000</v>
      </c>
    </row>
    <row r="43" spans="1:72" ht="12">
      <c r="A43" s="31" t="s">
        <v>220</v>
      </c>
      <c r="B43" s="31" t="s">
        <v>221</v>
      </c>
      <c r="C43" s="23"/>
      <c r="D43" s="23">
        <f t="shared" si="50"/>
        <v>0</v>
      </c>
      <c r="E43" s="23">
        <f t="shared" si="51"/>
        <v>0</v>
      </c>
      <c r="F43" s="23">
        <f t="shared" si="52"/>
        <v>0</v>
      </c>
      <c r="G43" s="23"/>
      <c r="H43" s="23"/>
      <c r="I43" s="167"/>
      <c r="J43" s="23"/>
      <c r="K43" s="23"/>
      <c r="L43" s="23"/>
      <c r="M43" s="23"/>
      <c r="N43" s="84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84"/>
      <c r="AN43" s="23"/>
      <c r="AO43" s="23"/>
      <c r="AP43" s="23"/>
      <c r="AQ43" s="23"/>
      <c r="AR43" s="23"/>
      <c r="AS43" s="23"/>
      <c r="AT43" s="84"/>
      <c r="AU43" s="23"/>
      <c r="AV43" s="23"/>
      <c r="AW43" s="23"/>
      <c r="AX43" s="23"/>
      <c r="AY43" s="23"/>
      <c r="AZ43" s="23"/>
      <c r="BA43" s="23"/>
      <c r="BB43" s="23"/>
      <c r="BC43" s="84"/>
      <c r="BD43" s="61">
        <f>SUM('AC-SVC'!C43)*BD$7</f>
        <v>0</v>
      </c>
      <c r="BE43" s="61">
        <f>SUM('AC-SVC'!D43)</f>
        <v>0</v>
      </c>
      <c r="BF43" s="61">
        <f>SUM('AC-SVC'!G43)</f>
        <v>0</v>
      </c>
      <c r="BG43" s="61">
        <f>SUM('AC-SVC'!J43)</f>
        <v>0</v>
      </c>
      <c r="BH43" s="61">
        <f>SUM('AC-SVC'!M43)</f>
        <v>0</v>
      </c>
      <c r="BI43" s="61">
        <f>SUM('AC-SVC'!P43)*BI$7</f>
        <v>0</v>
      </c>
      <c r="BJ43" s="61">
        <f>SUM(PT!C43)</f>
        <v>0</v>
      </c>
      <c r="BK43" s="61">
        <f>SUM(CCLC!C43)</f>
        <v>0</v>
      </c>
      <c r="BL43" s="61">
        <f>SUM(FC!D43)</f>
        <v>0</v>
      </c>
      <c r="BM43" s="61">
        <f>SUM(FN!F43)*BM$7</f>
        <v>0</v>
      </c>
      <c r="BN43" s="61">
        <f>SUM(FS!D43)</f>
        <v>0</v>
      </c>
      <c r="BO43" s="61">
        <f>SUM(IT!D43)</f>
        <v>0</v>
      </c>
      <c r="BP43" s="84"/>
      <c r="BQ43" s="49">
        <f t="shared" si="53"/>
        <v>0</v>
      </c>
      <c r="BS43" s="95">
        <f>SUM(Sheet1!C43)</f>
        <v>0</v>
      </c>
      <c r="BT43" s="288">
        <f>SUM(Sheet1!I43)</f>
        <v>0</v>
      </c>
    </row>
    <row r="44" spans="1:72" ht="12">
      <c r="A44" s="31" t="s">
        <v>222</v>
      </c>
      <c r="B44" s="31" t="s">
        <v>296</v>
      </c>
      <c r="C44" s="23"/>
      <c r="D44" s="23">
        <f t="shared" si="50"/>
        <v>0</v>
      </c>
      <c r="E44" s="23">
        <f t="shared" si="51"/>
        <v>0</v>
      </c>
      <c r="F44" s="23">
        <f t="shared" si="52"/>
        <v>0</v>
      </c>
      <c r="G44" s="23"/>
      <c r="H44" s="23"/>
      <c r="I44" s="167"/>
      <c r="J44" s="23"/>
      <c r="K44" s="23"/>
      <c r="L44" s="23"/>
      <c r="M44" s="23"/>
      <c r="N44" s="84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84"/>
      <c r="AN44" s="23"/>
      <c r="AO44" s="23"/>
      <c r="AP44" s="23"/>
      <c r="AQ44" s="23"/>
      <c r="AR44" s="23"/>
      <c r="AS44" s="23"/>
      <c r="AT44" s="84"/>
      <c r="AU44" s="23"/>
      <c r="AV44" s="23"/>
      <c r="AW44" s="23"/>
      <c r="AX44" s="23"/>
      <c r="AY44" s="23"/>
      <c r="AZ44" s="23"/>
      <c r="BA44" s="23"/>
      <c r="BB44" s="23"/>
      <c r="BC44" s="84"/>
      <c r="BD44" s="61">
        <f>SUM('AC-SVC'!C44)*BD$7</f>
        <v>0</v>
      </c>
      <c r="BE44" s="61">
        <f>SUM('AC-SVC'!D44)</f>
        <v>0</v>
      </c>
      <c r="BF44" s="61">
        <f>SUM('AC-SVC'!G44)</f>
        <v>0</v>
      </c>
      <c r="BG44" s="61">
        <f>SUM('AC-SVC'!J44)</f>
        <v>0</v>
      </c>
      <c r="BH44" s="61">
        <f>SUM('AC-SVC'!M44)</f>
        <v>0</v>
      </c>
      <c r="BI44" s="61">
        <f>SUM('AC-SVC'!P44)*BI$7</f>
        <v>0</v>
      </c>
      <c r="BJ44" s="61">
        <f>SUM(PT!C44)</f>
        <v>0</v>
      </c>
      <c r="BK44" s="61">
        <f>SUM(CCLC!C44)</f>
        <v>0</v>
      </c>
      <c r="BL44" s="61">
        <f>SUM(FC!D44)</f>
        <v>0</v>
      </c>
      <c r="BM44" s="61">
        <f>SUM(FN!F44)*BM$7</f>
        <v>0</v>
      </c>
      <c r="BN44" s="61">
        <f>SUM(FS!D44)</f>
        <v>0</v>
      </c>
      <c r="BO44" s="61">
        <f>SUM(IT!D44)</f>
        <v>0</v>
      </c>
      <c r="BP44" s="84"/>
      <c r="BQ44" s="49">
        <f t="shared" si="53"/>
        <v>0</v>
      </c>
      <c r="BS44" s="95">
        <f>SUM(Sheet1!C44)</f>
        <v>0</v>
      </c>
      <c r="BT44" s="288">
        <f>SUM(Sheet1!I44)</f>
        <v>0</v>
      </c>
    </row>
    <row r="45" spans="1:72" ht="12">
      <c r="A45" s="31" t="s">
        <v>223</v>
      </c>
      <c r="B45" s="31" t="s">
        <v>224</v>
      </c>
      <c r="C45" s="23"/>
      <c r="D45" s="23">
        <f t="shared" si="50"/>
        <v>0</v>
      </c>
      <c r="E45" s="23">
        <f t="shared" si="51"/>
        <v>0</v>
      </c>
      <c r="F45" s="23">
        <f t="shared" si="52"/>
        <v>0</v>
      </c>
      <c r="G45" s="23"/>
      <c r="H45" s="23"/>
      <c r="I45" s="167"/>
      <c r="J45" s="23"/>
      <c r="K45" s="23"/>
      <c r="L45" s="23"/>
      <c r="M45" s="23"/>
      <c r="N45" s="84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84"/>
      <c r="AN45" s="23"/>
      <c r="AO45" s="23"/>
      <c r="AP45" s="23"/>
      <c r="AQ45" s="23"/>
      <c r="AR45" s="23"/>
      <c r="AS45" s="23"/>
      <c r="AT45" s="84"/>
      <c r="AU45" s="23"/>
      <c r="AV45" s="23"/>
      <c r="AW45" s="23"/>
      <c r="AX45" s="23"/>
      <c r="AY45" s="23"/>
      <c r="AZ45" s="23"/>
      <c r="BA45" s="23"/>
      <c r="BB45" s="23"/>
      <c r="BC45" s="84"/>
      <c r="BD45" s="61">
        <f>SUM('AC-SVC'!C45)*BD$7</f>
        <v>0</v>
      </c>
      <c r="BE45" s="61">
        <f>SUM('AC-SVC'!D45)</f>
        <v>0</v>
      </c>
      <c r="BF45" s="61">
        <f>SUM('AC-SVC'!G45)</f>
        <v>0</v>
      </c>
      <c r="BG45" s="61">
        <f>SUM('AC-SVC'!J45)</f>
        <v>0</v>
      </c>
      <c r="BH45" s="61">
        <f>SUM('AC-SVC'!M45)</f>
        <v>0</v>
      </c>
      <c r="BI45" s="61">
        <f>SUM('AC-SVC'!P45)*BI$7</f>
        <v>0</v>
      </c>
      <c r="BJ45" s="61">
        <f>SUM(PT!C45)</f>
        <v>0</v>
      </c>
      <c r="BK45" s="61">
        <f>SUM(CCLC!C45)</f>
        <v>0</v>
      </c>
      <c r="BL45" s="61">
        <f>SUM(FC!D45)</f>
        <v>0</v>
      </c>
      <c r="BM45" s="61">
        <f>SUM(FN!F45)*BM$7</f>
        <v>0</v>
      </c>
      <c r="BN45" s="61">
        <f>SUM(FS!D45)</f>
        <v>0</v>
      </c>
      <c r="BO45" s="61">
        <f>SUM(IT!D45)</f>
        <v>0</v>
      </c>
      <c r="BP45" s="84"/>
      <c r="BQ45" s="49">
        <f t="shared" si="53"/>
        <v>0</v>
      </c>
      <c r="BS45" s="95">
        <f>SUM(Sheet1!C45)</f>
        <v>0</v>
      </c>
      <c r="BT45" s="288">
        <f>SUM(Sheet1!I45)</f>
        <v>0</v>
      </c>
    </row>
    <row r="46" spans="1:72" ht="12">
      <c r="A46" s="31" t="s">
        <v>225</v>
      </c>
      <c r="B46" s="31" t="s">
        <v>226</v>
      </c>
      <c r="C46" s="23"/>
      <c r="D46" s="23">
        <f t="shared" si="50"/>
        <v>0</v>
      </c>
      <c r="E46" s="23">
        <f t="shared" si="51"/>
        <v>0</v>
      </c>
      <c r="F46" s="23">
        <f t="shared" si="52"/>
        <v>0</v>
      </c>
      <c r="G46" s="23"/>
      <c r="H46" s="23"/>
      <c r="I46" s="167"/>
      <c r="J46" s="23"/>
      <c r="K46" s="23"/>
      <c r="L46" s="23"/>
      <c r="M46" s="23"/>
      <c r="N46" s="84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84"/>
      <c r="AN46" s="23"/>
      <c r="AO46" s="23"/>
      <c r="AP46" s="23"/>
      <c r="AQ46" s="23"/>
      <c r="AR46" s="23"/>
      <c r="AS46" s="23"/>
      <c r="AT46" s="84"/>
      <c r="AU46" s="23"/>
      <c r="AV46" s="23"/>
      <c r="AW46" s="23"/>
      <c r="AX46" s="23"/>
      <c r="AY46" s="23"/>
      <c r="AZ46" s="23"/>
      <c r="BA46" s="23"/>
      <c r="BB46" s="23"/>
      <c r="BC46" s="84"/>
      <c r="BD46" s="61">
        <f>SUM('AC-SVC'!C46)*BD$7</f>
        <v>0</v>
      </c>
      <c r="BE46" s="61">
        <f>SUM('AC-SVC'!D46)</f>
        <v>0</v>
      </c>
      <c r="BF46" s="61">
        <f>SUM('AC-SVC'!G46)</f>
        <v>0</v>
      </c>
      <c r="BG46" s="61">
        <f>SUM('AC-SVC'!J46)</f>
        <v>0</v>
      </c>
      <c r="BH46" s="61">
        <f>SUM('AC-SVC'!M46)</f>
        <v>0</v>
      </c>
      <c r="BI46" s="61">
        <f>SUM('AC-SVC'!P46)*BI$7</f>
        <v>0</v>
      </c>
      <c r="BJ46" s="61">
        <f>SUM(PT!C46)</f>
        <v>0</v>
      </c>
      <c r="BK46" s="61">
        <f>SUM(CCLC!C46)</f>
        <v>0</v>
      </c>
      <c r="BL46" s="61">
        <f>SUM(FC!D46)</f>
        <v>0</v>
      </c>
      <c r="BM46" s="61">
        <f>SUM(FN!F46)*BM$7</f>
        <v>0</v>
      </c>
      <c r="BN46" s="61">
        <f>SUM(FS!D46)</f>
        <v>0</v>
      </c>
      <c r="BO46" s="61">
        <f>SUM(IT!D46)</f>
        <v>0</v>
      </c>
      <c r="BP46" s="84"/>
      <c r="BQ46" s="49">
        <f t="shared" si="53"/>
        <v>0</v>
      </c>
      <c r="BS46" s="95">
        <f>SUM(Sheet1!C46)</f>
        <v>0</v>
      </c>
      <c r="BT46" s="288">
        <f>SUM(Sheet1!I46)</f>
        <v>0</v>
      </c>
    </row>
    <row r="47" spans="1:72" ht="12">
      <c r="A47" s="31" t="s">
        <v>227</v>
      </c>
      <c r="B47" s="31" t="s">
        <v>297</v>
      </c>
      <c r="C47" s="23"/>
      <c r="D47" s="23">
        <f t="shared" si="50"/>
        <v>0</v>
      </c>
      <c r="E47" s="23">
        <f t="shared" si="51"/>
        <v>0</v>
      </c>
      <c r="F47" s="23">
        <f t="shared" si="52"/>
        <v>0</v>
      </c>
      <c r="G47" s="23"/>
      <c r="H47" s="23"/>
      <c r="I47" s="167"/>
      <c r="J47" s="23"/>
      <c r="K47" s="23"/>
      <c r="L47" s="23"/>
      <c r="M47" s="23"/>
      <c r="N47" s="84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84"/>
      <c r="AN47" s="23"/>
      <c r="AO47" s="23"/>
      <c r="AP47" s="23"/>
      <c r="AQ47" s="23"/>
      <c r="AR47" s="23"/>
      <c r="AS47" s="23"/>
      <c r="AT47" s="84"/>
      <c r="AU47" s="23"/>
      <c r="AV47" s="23"/>
      <c r="AW47" s="23"/>
      <c r="AX47" s="23"/>
      <c r="AY47" s="23"/>
      <c r="AZ47" s="23"/>
      <c r="BA47" s="23"/>
      <c r="BB47" s="23"/>
      <c r="BC47" s="84"/>
      <c r="BD47" s="61">
        <f>SUM('AC-SVC'!C47)*BD$7</f>
        <v>0</v>
      </c>
      <c r="BE47" s="61">
        <f>SUM('AC-SVC'!D47)</f>
        <v>0</v>
      </c>
      <c r="BF47" s="61">
        <f>SUM('AC-SVC'!G47)</f>
        <v>0</v>
      </c>
      <c r="BG47" s="61">
        <f>SUM('AC-SVC'!J47)</f>
        <v>0</v>
      </c>
      <c r="BH47" s="61">
        <f>SUM('AC-SVC'!M47)</f>
        <v>0</v>
      </c>
      <c r="BI47" s="61">
        <f>SUM('AC-SVC'!P47)*BI$7</f>
        <v>0</v>
      </c>
      <c r="BJ47" s="61">
        <f>SUM(PT!C47)</f>
        <v>0</v>
      </c>
      <c r="BK47" s="61">
        <f>SUM(CCLC!C47)</f>
        <v>0</v>
      </c>
      <c r="BL47" s="61">
        <f>SUM(FC!D47)</f>
        <v>0</v>
      </c>
      <c r="BM47" s="61">
        <f>SUM(FN!F47)*BM$7</f>
        <v>0</v>
      </c>
      <c r="BN47" s="61">
        <f>SUM(FS!D47)</f>
        <v>0</v>
      </c>
      <c r="BO47" s="61">
        <f>SUM(IT!D47)</f>
        <v>0</v>
      </c>
      <c r="BP47" s="84"/>
      <c r="BQ47" s="49">
        <f t="shared" si="53"/>
        <v>0</v>
      </c>
      <c r="BS47" s="95">
        <f>SUM(Sheet1!C47)</f>
        <v>0</v>
      </c>
      <c r="BT47" s="288">
        <f>SUM(Sheet1!I47)</f>
        <v>0</v>
      </c>
    </row>
    <row r="48" spans="1:72" ht="12">
      <c r="A48" s="31" t="s">
        <v>228</v>
      </c>
      <c r="B48" s="31" t="s">
        <v>298</v>
      </c>
      <c r="C48" s="169"/>
      <c r="D48" s="169">
        <f t="shared" si="50"/>
        <v>0</v>
      </c>
      <c r="E48" s="169">
        <f t="shared" si="51"/>
        <v>0</v>
      </c>
      <c r="F48" s="169">
        <f t="shared" si="52"/>
        <v>0</v>
      </c>
      <c r="G48" s="169"/>
      <c r="H48" s="169"/>
      <c r="I48" s="167"/>
      <c r="J48" s="169"/>
      <c r="K48" s="169"/>
      <c r="L48" s="169"/>
      <c r="M48" s="169"/>
      <c r="N48" s="173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73"/>
      <c r="AN48" s="169"/>
      <c r="AO48" s="169"/>
      <c r="AP48" s="169"/>
      <c r="AQ48" s="169"/>
      <c r="AR48" s="169"/>
      <c r="AS48" s="169"/>
      <c r="AT48" s="173"/>
      <c r="AU48" s="169"/>
      <c r="AV48" s="169"/>
      <c r="AW48" s="169"/>
      <c r="AX48" s="169"/>
      <c r="AY48" s="169"/>
      <c r="AZ48" s="169"/>
      <c r="BA48" s="169"/>
      <c r="BB48" s="169"/>
      <c r="BC48" s="84"/>
      <c r="BD48" s="20">
        <f>SUM('AC-SVC'!C48)*BD$7</f>
        <v>0</v>
      </c>
      <c r="BE48" s="20">
        <f>SUM('AC-SVC'!D48)</f>
        <v>0</v>
      </c>
      <c r="BF48" s="20">
        <f>SUM('AC-SVC'!G48)</f>
        <v>0</v>
      </c>
      <c r="BG48" s="20">
        <f>SUM('AC-SVC'!J48)</f>
        <v>0</v>
      </c>
      <c r="BH48" s="20">
        <f>SUM('AC-SVC'!M48)</f>
        <v>0</v>
      </c>
      <c r="BI48" s="20">
        <f>SUM('AC-SVC'!P48)*BI$7</f>
        <v>0</v>
      </c>
      <c r="BJ48" s="20">
        <f>SUM(PT!C48)</f>
        <v>0</v>
      </c>
      <c r="BK48" s="20">
        <f>SUM(CCLC!C48)</f>
        <v>0</v>
      </c>
      <c r="BL48" s="20">
        <f>SUM(FC!D48)</f>
        <v>0</v>
      </c>
      <c r="BM48" s="20">
        <f>SUM(FN!F48)*BM$7</f>
        <v>0</v>
      </c>
      <c r="BN48" s="20">
        <f>SUM(FS!D48)</f>
        <v>0</v>
      </c>
      <c r="BO48" s="20">
        <f>SUM(IT!D48)</f>
        <v>0</v>
      </c>
      <c r="BP48" s="84"/>
      <c r="BQ48" s="63">
        <f t="shared" si="53"/>
        <v>0</v>
      </c>
      <c r="BS48" s="96">
        <f>SUM(Sheet1!C48)</f>
        <v>0</v>
      </c>
      <c r="BT48" s="288">
        <f>SUM(Sheet1!I48)</f>
        <v>0</v>
      </c>
    </row>
    <row r="49" spans="1:72" s="30" customFormat="1" ht="10">
      <c r="A49" s="31"/>
      <c r="B49" s="31" t="s">
        <v>299</v>
      </c>
      <c r="C49" s="49">
        <f t="shared" ref="C49:H49" si="54">SUM(C41:C48)</f>
        <v>5516640</v>
      </c>
      <c r="D49" s="49">
        <f t="shared" si="54"/>
        <v>0</v>
      </c>
      <c r="E49" s="49">
        <f t="shared" si="54"/>
        <v>0</v>
      </c>
      <c r="F49" s="49">
        <f t="shared" si="54"/>
        <v>0</v>
      </c>
      <c r="G49" s="49">
        <f t="shared" si="54"/>
        <v>0</v>
      </c>
      <c r="H49" s="49">
        <f t="shared" si="54"/>
        <v>0</v>
      </c>
      <c r="I49" s="170"/>
      <c r="J49" s="49">
        <f t="shared" ref="J49" si="55">SUM(J41:J48)</f>
        <v>0</v>
      </c>
      <c r="K49" s="49">
        <f t="shared" ref="K49" si="56">SUM(K41:K48)</f>
        <v>0</v>
      </c>
      <c r="L49" s="49">
        <f t="shared" ref="L49" si="57">SUM(L41:L48)</f>
        <v>0</v>
      </c>
      <c r="M49" s="49">
        <f t="shared" ref="M49" si="58">SUM(M41:M48)</f>
        <v>0</v>
      </c>
      <c r="N49" s="171"/>
      <c r="O49" s="49">
        <f t="shared" ref="O49" si="59">SUM(O41:O48)</f>
        <v>0</v>
      </c>
      <c r="P49" s="49">
        <f t="shared" ref="P49" si="60">SUM(P41:P48)</f>
        <v>0</v>
      </c>
      <c r="Q49" s="49">
        <f t="shared" ref="Q49" si="61">SUM(Q41:Q48)</f>
        <v>0</v>
      </c>
      <c r="R49" s="49">
        <f t="shared" ref="R49" si="62">SUM(R41:R48)</f>
        <v>0</v>
      </c>
      <c r="S49" s="49">
        <f t="shared" ref="S49" si="63">SUM(S41:S48)</f>
        <v>0</v>
      </c>
      <c r="T49" s="49">
        <f t="shared" ref="T49" si="64">SUM(T41:T48)</f>
        <v>0</v>
      </c>
      <c r="U49" s="49">
        <f t="shared" ref="U49" si="65">SUM(U41:U48)</f>
        <v>0</v>
      </c>
      <c r="V49" s="49">
        <f t="shared" ref="V49" si="66">SUM(V41:V48)</f>
        <v>0</v>
      </c>
      <c r="W49" s="49">
        <f t="shared" ref="W49" si="67">SUM(W41:W48)</f>
        <v>0</v>
      </c>
      <c r="X49" s="49">
        <f t="shared" ref="X49" si="68">SUM(X41:X48)</f>
        <v>0</v>
      </c>
      <c r="Y49" s="49">
        <f t="shared" ref="Y49" si="69">SUM(Y41:Y48)</f>
        <v>0</v>
      </c>
      <c r="Z49" s="49">
        <f t="shared" ref="Z49" si="70">SUM(Z41:Z48)</f>
        <v>0</v>
      </c>
      <c r="AA49" s="49">
        <f t="shared" ref="AA49" si="71">SUM(AA41:AA48)</f>
        <v>0</v>
      </c>
      <c r="AB49" s="49">
        <f t="shared" ref="AB49" si="72">SUM(AB41:AB48)</f>
        <v>0</v>
      </c>
      <c r="AC49" s="49">
        <f t="shared" ref="AC49" si="73">SUM(AC41:AC48)</f>
        <v>0</v>
      </c>
      <c r="AD49" s="49">
        <f t="shared" ref="AD49" si="74">SUM(AD41:AD48)</f>
        <v>0</v>
      </c>
      <c r="AE49" s="49">
        <f t="shared" ref="AE49" si="75">SUM(AE41:AE48)</f>
        <v>0</v>
      </c>
      <c r="AF49" s="49">
        <f t="shared" ref="AF49" si="76">SUM(AF41:AF48)</f>
        <v>0</v>
      </c>
      <c r="AG49" s="49">
        <f t="shared" ref="AG49" si="77">SUM(AG41:AG48)</f>
        <v>0</v>
      </c>
      <c r="AH49" s="49">
        <f t="shared" ref="AH49" si="78">SUM(AH41:AH48)</f>
        <v>0</v>
      </c>
      <c r="AI49" s="49">
        <f t="shared" ref="AI49" si="79">SUM(AI41:AI48)</f>
        <v>0</v>
      </c>
      <c r="AJ49" s="49">
        <f t="shared" ref="AJ49" si="80">SUM(AJ41:AJ48)</f>
        <v>0</v>
      </c>
      <c r="AK49" s="49">
        <f t="shared" ref="AK49" si="81">SUM(AK41:AK48)</f>
        <v>0</v>
      </c>
      <c r="AL49" s="49">
        <f t="shared" ref="AL49" si="82">SUM(AL41:AL48)</f>
        <v>0</v>
      </c>
      <c r="AM49" s="171"/>
      <c r="AN49" s="49">
        <f t="shared" ref="AN49" si="83">SUM(AN41:AN48)</f>
        <v>0</v>
      </c>
      <c r="AO49" s="49">
        <f t="shared" ref="AO49" si="84">SUM(AO41:AO48)</f>
        <v>0</v>
      </c>
      <c r="AP49" s="49">
        <f t="shared" ref="AP49" si="85">SUM(AP41:AP48)</f>
        <v>0</v>
      </c>
      <c r="AQ49" s="49">
        <f t="shared" ref="AQ49" si="86">SUM(AQ41:AQ48)</f>
        <v>0</v>
      </c>
      <c r="AR49" s="49">
        <f t="shared" ref="AR49" si="87">SUM(AR41:AR48)</f>
        <v>0</v>
      </c>
      <c r="AS49" s="49">
        <f t="shared" ref="AS49" si="88">SUM(AS41:AS48)</f>
        <v>0</v>
      </c>
      <c r="AT49" s="171"/>
      <c r="AU49" s="49">
        <f t="shared" ref="AU49" si="89">SUM(AU41:AU48)</f>
        <v>0</v>
      </c>
      <c r="AV49" s="49">
        <f t="shared" ref="AV49" si="90">SUM(AV41:AV48)</f>
        <v>0</v>
      </c>
      <c r="AW49" s="49">
        <f t="shared" ref="AW49" si="91">SUM(AW41:AW48)</f>
        <v>0</v>
      </c>
      <c r="AX49" s="49">
        <f t="shared" ref="AX49" si="92">SUM(AX41:AX48)</f>
        <v>0</v>
      </c>
      <c r="AY49" s="49">
        <f t="shared" ref="AY49" si="93">SUM(AY41:AY48)</f>
        <v>0</v>
      </c>
      <c r="AZ49" s="49">
        <f t="shared" ref="AZ49" si="94">SUM(AZ41:AZ48)</f>
        <v>0</v>
      </c>
      <c r="BA49" s="49">
        <f t="shared" ref="BA49" si="95">SUM(BA41:BA48)</f>
        <v>0</v>
      </c>
      <c r="BB49" s="49">
        <f t="shared" ref="BB49" si="96">SUM(BB41:BB48)</f>
        <v>0</v>
      </c>
      <c r="BC49" s="171"/>
      <c r="BD49" s="41">
        <f t="shared" ref="BD49:BI49" si="97">+SUM(BD41:BD48)</f>
        <v>0</v>
      </c>
      <c r="BE49" s="49">
        <f t="shared" si="97"/>
        <v>0</v>
      </c>
      <c r="BF49" s="41">
        <f t="shared" si="97"/>
        <v>0</v>
      </c>
      <c r="BG49" s="41">
        <f t="shared" si="97"/>
        <v>0</v>
      </c>
      <c r="BH49" s="41">
        <f t="shared" si="97"/>
        <v>0</v>
      </c>
      <c r="BI49" s="41">
        <f t="shared" si="97"/>
        <v>0</v>
      </c>
      <c r="BJ49" s="41">
        <f>+SUM(BJ41:BJ48)</f>
        <v>0</v>
      </c>
      <c r="BK49" s="41">
        <f>+SUM(BK41:BK48)</f>
        <v>0</v>
      </c>
      <c r="BL49" s="41">
        <f>+SUM(BL41:BL48)</f>
        <v>0</v>
      </c>
      <c r="BM49" s="41">
        <f t="shared" ref="BM49" si="98">+SUM(BM41:BM48)</f>
        <v>0</v>
      </c>
      <c r="BN49" s="41">
        <f>+SUM(BN41:BN48)</f>
        <v>0</v>
      </c>
      <c r="BO49" s="41">
        <f t="shared" ref="BO49" si="99">+SUM(BO41:BO48)</f>
        <v>0</v>
      </c>
      <c r="BP49" s="171"/>
      <c r="BQ49" s="49">
        <f>SUM(BQ41:BQ48)</f>
        <v>5516640</v>
      </c>
      <c r="BS49" s="94">
        <f>SUM(BS41:BS48)</f>
        <v>5297964.6900000004</v>
      </c>
      <c r="BT49" s="293">
        <f>SUM(BT41:BT48)</f>
        <v>5516640</v>
      </c>
    </row>
    <row r="50" spans="1:72">
      <c r="C50" s="23"/>
      <c r="D50" s="23"/>
      <c r="E50" s="23"/>
      <c r="F50" s="23"/>
      <c r="G50" s="23"/>
      <c r="H50" s="23"/>
      <c r="I50" s="167"/>
      <c r="J50" s="23"/>
      <c r="K50" s="23"/>
      <c r="L50" s="23"/>
      <c r="M50" s="23"/>
      <c r="N50" s="84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84"/>
      <c r="AN50" s="23"/>
      <c r="AO50" s="23"/>
      <c r="AP50" s="23"/>
      <c r="AQ50" s="23"/>
      <c r="AR50" s="23"/>
      <c r="AS50" s="23"/>
      <c r="AT50" s="84"/>
      <c r="AU50" s="23"/>
      <c r="AV50" s="23"/>
      <c r="AW50" s="23"/>
      <c r="AX50" s="23"/>
      <c r="AY50" s="23"/>
      <c r="AZ50" s="23"/>
      <c r="BA50" s="23"/>
      <c r="BB50" s="23"/>
      <c r="BC50" s="84"/>
      <c r="BD50" s="21"/>
      <c r="BE50" s="23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84"/>
      <c r="BS50" s="94"/>
    </row>
    <row r="51" spans="1:72">
      <c r="A51" s="31" t="s">
        <v>300</v>
      </c>
      <c r="C51" s="23"/>
      <c r="D51" s="23"/>
      <c r="E51" s="23"/>
      <c r="F51" s="23"/>
      <c r="G51" s="23"/>
      <c r="H51" s="23"/>
      <c r="I51" s="167"/>
      <c r="J51" s="23"/>
      <c r="K51" s="23"/>
      <c r="L51" s="23"/>
      <c r="M51" s="23"/>
      <c r="N51" s="84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84"/>
      <c r="AN51" s="23"/>
      <c r="AO51" s="23"/>
      <c r="AP51" s="23"/>
      <c r="AQ51" s="23"/>
      <c r="AR51" s="23"/>
      <c r="AS51" s="23"/>
      <c r="AT51" s="84"/>
      <c r="AU51" s="23"/>
      <c r="AV51" s="23"/>
      <c r="AW51" s="23"/>
      <c r="AX51" s="23"/>
      <c r="AY51" s="23"/>
      <c r="AZ51" s="23"/>
      <c r="BA51" s="23"/>
      <c r="BB51" s="23"/>
      <c r="BC51" s="84"/>
      <c r="BD51" s="21"/>
      <c r="BE51" s="23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84"/>
      <c r="BS51" s="94"/>
    </row>
    <row r="52" spans="1:72">
      <c r="A52" s="31" t="s">
        <v>301</v>
      </c>
      <c r="C52" s="23"/>
      <c r="D52" s="23"/>
      <c r="E52" s="23"/>
      <c r="F52" s="23"/>
      <c r="G52" s="23"/>
      <c r="H52" s="23"/>
      <c r="I52" s="167"/>
      <c r="J52" s="23"/>
      <c r="K52" s="23"/>
      <c r="L52" s="23"/>
      <c r="M52" s="23"/>
      <c r="N52" s="84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84"/>
      <c r="AN52" s="23"/>
      <c r="AO52" s="23"/>
      <c r="AP52" s="23"/>
      <c r="AQ52" s="23"/>
      <c r="AR52" s="23"/>
      <c r="AS52" s="23"/>
      <c r="AT52" s="84"/>
      <c r="AU52" s="23"/>
      <c r="AV52" s="23"/>
      <c r="AW52" s="23"/>
      <c r="AX52" s="23"/>
      <c r="AY52" s="23"/>
      <c r="AZ52" s="23"/>
      <c r="BA52" s="23"/>
      <c r="BB52" s="23"/>
      <c r="BC52" s="84"/>
      <c r="BD52" s="21"/>
      <c r="BE52" s="23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84"/>
      <c r="BS52" s="94"/>
    </row>
    <row r="53" spans="1:72" ht="12">
      <c r="A53" s="31" t="s">
        <v>229</v>
      </c>
      <c r="B53" s="31" t="s">
        <v>389</v>
      </c>
      <c r="C53" s="23"/>
      <c r="D53" s="23">
        <f t="shared" ref="D53:D65" si="100">SUM(J53:M53)</f>
        <v>0</v>
      </c>
      <c r="E53" s="157">
        <f t="shared" ref="E53:E65" si="101">SUM(O53:AS53)</f>
        <v>0</v>
      </c>
      <c r="F53" s="23">
        <f t="shared" ref="F53:F65" si="102">SUM(AU53:BB53)</f>
        <v>0</v>
      </c>
      <c r="G53" s="23"/>
      <c r="H53" s="23"/>
      <c r="I53" s="167"/>
      <c r="J53" s="23"/>
      <c r="K53" s="23"/>
      <c r="L53" s="23"/>
      <c r="M53" s="23"/>
      <c r="N53" s="84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84"/>
      <c r="AN53" s="23"/>
      <c r="AO53" s="23"/>
      <c r="AP53" s="23"/>
      <c r="AQ53" s="23"/>
      <c r="AR53" s="23"/>
      <c r="AS53" s="23"/>
      <c r="AT53" s="84"/>
      <c r="AU53" s="23"/>
      <c r="AV53" s="23"/>
      <c r="AW53" s="23"/>
      <c r="AX53" s="23"/>
      <c r="AY53" s="23"/>
      <c r="AZ53" s="23"/>
      <c r="BA53" s="23"/>
      <c r="BB53" s="23"/>
      <c r="BC53" s="84"/>
      <c r="BD53" s="61">
        <f>SUM('AC-SVC'!C53)*BD$7</f>
        <v>0</v>
      </c>
      <c r="BE53" s="61">
        <f>SUM('AC-SVC'!D53)</f>
        <v>163200</v>
      </c>
      <c r="BF53" s="61">
        <f>SUM('AC-SVC'!G53)</f>
        <v>0</v>
      </c>
      <c r="BG53" s="61">
        <f>SUM('AC-SVC'!J53)</f>
        <v>0</v>
      </c>
      <c r="BH53" s="61">
        <f>SUM('AC-SVC'!M53)</f>
        <v>0</v>
      </c>
      <c r="BI53" s="61">
        <f>SUM('AC-SVC'!P53)*BI$7</f>
        <v>0</v>
      </c>
      <c r="BJ53" s="61">
        <f>SUM(PT!C53)</f>
        <v>0</v>
      </c>
      <c r="BK53" s="61">
        <f>SUM(CCLC!C53)</f>
        <v>0</v>
      </c>
      <c r="BL53" s="61">
        <f>SUM(FC!D53)</f>
        <v>0</v>
      </c>
      <c r="BM53" s="61">
        <f>SUM(FN!F53)*BM$7</f>
        <v>0</v>
      </c>
      <c r="BN53" s="61">
        <f>SUM(FS!D53)</f>
        <v>0</v>
      </c>
      <c r="BO53" s="61">
        <f>SUM(IT!D53)</f>
        <v>0</v>
      </c>
      <c r="BP53" s="84"/>
      <c r="BQ53" s="62">
        <f t="shared" ref="BQ53:BQ65" si="103">SUM(C53:H53)+SUM(BD53:BO53)</f>
        <v>163200</v>
      </c>
      <c r="BS53" s="95">
        <f>SUM(Sheet1!C53)</f>
        <v>269268.55</v>
      </c>
      <c r="BT53" s="288">
        <f>SUM(Sheet1!I53)</f>
        <v>162577.23773584905</v>
      </c>
    </row>
    <row r="54" spans="1:72" ht="12">
      <c r="A54" s="31" t="s">
        <v>230</v>
      </c>
      <c r="B54" s="31" t="s">
        <v>390</v>
      </c>
      <c r="C54" s="23"/>
      <c r="D54" s="23">
        <f t="shared" si="100"/>
        <v>0</v>
      </c>
      <c r="E54" s="157">
        <f t="shared" si="101"/>
        <v>0</v>
      </c>
      <c r="F54" s="23">
        <f t="shared" si="102"/>
        <v>0</v>
      </c>
      <c r="G54" s="23"/>
      <c r="H54" s="23"/>
      <c r="I54" s="167"/>
      <c r="J54" s="23"/>
      <c r="K54" s="23"/>
      <c r="L54" s="23"/>
      <c r="M54" s="23"/>
      <c r="N54" s="84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84"/>
      <c r="AN54" s="23"/>
      <c r="AO54" s="23"/>
      <c r="AP54" s="23"/>
      <c r="AQ54" s="23"/>
      <c r="AR54" s="23"/>
      <c r="AS54" s="23"/>
      <c r="AT54" s="84"/>
      <c r="AU54" s="23"/>
      <c r="AV54" s="23"/>
      <c r="AW54" s="23"/>
      <c r="AX54" s="23"/>
      <c r="AY54" s="23"/>
      <c r="AZ54" s="23"/>
      <c r="BA54" s="23"/>
      <c r="BB54" s="23"/>
      <c r="BC54" s="84"/>
      <c r="BD54" s="61">
        <f>SUM('AC-SVC'!C54)*BD$7</f>
        <v>0</v>
      </c>
      <c r="BE54" s="61">
        <f>SUM('AC-SVC'!D54)</f>
        <v>0</v>
      </c>
      <c r="BF54" s="61">
        <f>SUM('AC-SVC'!G54)</f>
        <v>0</v>
      </c>
      <c r="BG54" s="61">
        <f>SUM('AC-SVC'!J54)</f>
        <v>0</v>
      </c>
      <c r="BH54" s="61">
        <f>SUM('AC-SVC'!M54)</f>
        <v>0</v>
      </c>
      <c r="BI54" s="61">
        <f>SUM('AC-SVC'!P54)*BI$7</f>
        <v>0</v>
      </c>
      <c r="BJ54" s="61">
        <f>SUM(PT!C54)</f>
        <v>0</v>
      </c>
      <c r="BK54" s="61">
        <f>SUM(CCLC!C54)</f>
        <v>0</v>
      </c>
      <c r="BL54" s="61">
        <f>SUM(FC!D54)</f>
        <v>0</v>
      </c>
      <c r="BM54" s="61">
        <f>SUM(FN!F54)*BM$7</f>
        <v>0</v>
      </c>
      <c r="BN54" s="61">
        <f>SUM(FS!D54)</f>
        <v>0</v>
      </c>
      <c r="BO54" s="61">
        <f>SUM(IT!D54)</f>
        <v>0</v>
      </c>
      <c r="BP54" s="84"/>
      <c r="BQ54" s="62">
        <f t="shared" si="103"/>
        <v>0</v>
      </c>
      <c r="BS54" s="95">
        <f>SUM(Sheet1!C54)</f>
        <v>0</v>
      </c>
      <c r="BT54" s="288">
        <f>SUM(Sheet1!I54)</f>
        <v>0</v>
      </c>
    </row>
    <row r="55" spans="1:72" ht="12">
      <c r="A55" s="31" t="s">
        <v>231</v>
      </c>
      <c r="B55" s="31" t="s">
        <v>391</v>
      </c>
      <c r="C55" s="23"/>
      <c r="D55" s="23">
        <f t="shared" si="100"/>
        <v>0</v>
      </c>
      <c r="E55" s="157">
        <f t="shared" si="101"/>
        <v>0</v>
      </c>
      <c r="F55" s="23">
        <f t="shared" si="102"/>
        <v>0</v>
      </c>
      <c r="G55" s="23"/>
      <c r="H55" s="23"/>
      <c r="I55" s="167"/>
      <c r="J55" s="23"/>
      <c r="K55" s="23"/>
      <c r="L55" s="23"/>
      <c r="M55" s="23"/>
      <c r="N55" s="84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84"/>
      <c r="AN55" s="23"/>
      <c r="AO55" s="23"/>
      <c r="AP55" s="23"/>
      <c r="AQ55" s="23"/>
      <c r="AR55" s="23"/>
      <c r="AS55" s="23"/>
      <c r="AT55" s="84"/>
      <c r="AU55" s="23"/>
      <c r="AV55" s="23"/>
      <c r="AW55" s="23"/>
      <c r="AX55" s="23"/>
      <c r="AY55" s="23"/>
      <c r="AZ55" s="23"/>
      <c r="BA55" s="23"/>
      <c r="BB55" s="23"/>
      <c r="BC55" s="84"/>
      <c r="BD55" s="61">
        <f>SUM('AC-SVC'!C55)*BD$7</f>
        <v>0</v>
      </c>
      <c r="BE55" s="61">
        <f>SUM('AC-SVC'!D55)</f>
        <v>6400</v>
      </c>
      <c r="BF55" s="61">
        <f>SUM('AC-SVC'!G55)</f>
        <v>0</v>
      </c>
      <c r="BG55" s="61">
        <f>SUM('AC-SVC'!J55)</f>
        <v>0</v>
      </c>
      <c r="BH55" s="61">
        <f>SUM('AC-SVC'!M55)</f>
        <v>0</v>
      </c>
      <c r="BI55" s="61">
        <f>SUM('AC-SVC'!P55)*BI$7</f>
        <v>0</v>
      </c>
      <c r="BJ55" s="61">
        <f>SUM(PT!C55)</f>
        <v>0</v>
      </c>
      <c r="BK55" s="61">
        <f>SUM(CCLC!C55)</f>
        <v>0</v>
      </c>
      <c r="BL55" s="61">
        <f>SUM(FC!D55)</f>
        <v>0</v>
      </c>
      <c r="BM55" s="61">
        <f>SUM(FN!F55)*BM$7</f>
        <v>0</v>
      </c>
      <c r="BN55" s="61">
        <f>SUM(FS!D55)</f>
        <v>0</v>
      </c>
      <c r="BO55" s="61">
        <f>SUM(IT!D55)</f>
        <v>0</v>
      </c>
      <c r="BP55" s="84"/>
      <c r="BQ55" s="62">
        <f t="shared" si="103"/>
        <v>6400</v>
      </c>
      <c r="BS55" s="95">
        <f>SUM(Sheet1!C55)</f>
        <v>0</v>
      </c>
      <c r="BT55" s="288">
        <f>SUM(Sheet1!I55)</f>
        <v>0</v>
      </c>
    </row>
    <row r="56" spans="1:72" ht="12">
      <c r="A56" s="31" t="s">
        <v>232</v>
      </c>
      <c r="B56" s="31" t="s">
        <v>302</v>
      </c>
      <c r="C56" s="23"/>
      <c r="D56" s="23">
        <f t="shared" si="100"/>
        <v>0</v>
      </c>
      <c r="E56" s="157">
        <f t="shared" si="101"/>
        <v>0</v>
      </c>
      <c r="F56" s="23">
        <f t="shared" si="102"/>
        <v>0</v>
      </c>
      <c r="G56" s="23"/>
      <c r="H56" s="23"/>
      <c r="I56" s="167"/>
      <c r="J56" s="23"/>
      <c r="K56" s="23"/>
      <c r="L56" s="23"/>
      <c r="M56" s="23"/>
      <c r="N56" s="84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84"/>
      <c r="AN56" s="23"/>
      <c r="AO56" s="23"/>
      <c r="AP56" s="23"/>
      <c r="AQ56" s="23"/>
      <c r="AR56" s="23"/>
      <c r="AS56" s="23"/>
      <c r="AT56" s="84"/>
      <c r="AU56" s="23"/>
      <c r="AV56" s="23"/>
      <c r="AW56" s="23"/>
      <c r="AX56" s="23"/>
      <c r="AY56" s="23"/>
      <c r="AZ56" s="23"/>
      <c r="BA56" s="23"/>
      <c r="BB56" s="23"/>
      <c r="BC56" s="84"/>
      <c r="BD56" s="61">
        <f>SUM('AC-SVC'!C56)*BD$7</f>
        <v>0</v>
      </c>
      <c r="BE56" s="61">
        <f>SUM('AC-SVC'!D56)</f>
        <v>74373.517241379319</v>
      </c>
      <c r="BF56" s="61">
        <f>SUM('AC-SVC'!G56)</f>
        <v>0</v>
      </c>
      <c r="BG56" s="61">
        <f>SUM('AC-SVC'!J56)</f>
        <v>0</v>
      </c>
      <c r="BH56" s="61">
        <f>SUM('AC-SVC'!M56)</f>
        <v>0</v>
      </c>
      <c r="BI56" s="61">
        <f>SUM('AC-SVC'!P56)*BI$7</f>
        <v>0</v>
      </c>
      <c r="BJ56" s="61">
        <f>SUM(PT!C56)</f>
        <v>0</v>
      </c>
      <c r="BK56" s="61">
        <f>SUM(CCLC!C56)</f>
        <v>0</v>
      </c>
      <c r="BL56" s="61">
        <f>SUM(FC!D56)</f>
        <v>0</v>
      </c>
      <c r="BM56" s="61">
        <f>SUM(FN!F56)*BM$7</f>
        <v>0</v>
      </c>
      <c r="BN56" s="61">
        <f>SUM(FS!D56)</f>
        <v>0</v>
      </c>
      <c r="BO56" s="61">
        <f>SUM(IT!D56)</f>
        <v>0</v>
      </c>
      <c r="BP56" s="84"/>
      <c r="BQ56" s="62">
        <f t="shared" si="103"/>
        <v>74373.517241379319</v>
      </c>
      <c r="BS56" s="95">
        <f>SUM(Sheet1!C56)</f>
        <v>67401.06</v>
      </c>
      <c r="BT56" s="288">
        <f>SUM(Sheet1!I56)</f>
        <v>50983.426415094349</v>
      </c>
    </row>
    <row r="57" spans="1:72" ht="12">
      <c r="A57" s="31" t="s">
        <v>233</v>
      </c>
      <c r="B57" s="31" t="s">
        <v>303</v>
      </c>
      <c r="C57" s="23"/>
      <c r="D57" s="23">
        <f t="shared" si="100"/>
        <v>0</v>
      </c>
      <c r="E57" s="157">
        <f t="shared" si="101"/>
        <v>0</v>
      </c>
      <c r="F57" s="23">
        <f t="shared" si="102"/>
        <v>0</v>
      </c>
      <c r="G57" s="23"/>
      <c r="H57" s="23"/>
      <c r="I57" s="167"/>
      <c r="J57" s="23"/>
      <c r="K57" s="23"/>
      <c r="L57" s="23"/>
      <c r="M57" s="23"/>
      <c r="N57" s="84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84"/>
      <c r="AN57" s="23"/>
      <c r="AO57" s="23"/>
      <c r="AP57" s="23"/>
      <c r="AQ57" s="23"/>
      <c r="AR57" s="23"/>
      <c r="AS57" s="23"/>
      <c r="AT57" s="84"/>
      <c r="AU57" s="23"/>
      <c r="AV57" s="23"/>
      <c r="AW57" s="23"/>
      <c r="AX57" s="23"/>
      <c r="AY57" s="23"/>
      <c r="AZ57" s="23"/>
      <c r="BA57" s="23"/>
      <c r="BB57" s="23"/>
      <c r="BC57" s="84"/>
      <c r="BD57" s="61">
        <f>SUM('AC-SVC'!C57)*BD$7</f>
        <v>0</v>
      </c>
      <c r="BE57" s="61">
        <f>SUM('AC-SVC'!D57)</f>
        <v>0</v>
      </c>
      <c r="BF57" s="61">
        <f>SUM('AC-SVC'!G57)</f>
        <v>0</v>
      </c>
      <c r="BG57" s="61">
        <f>SUM('AC-SVC'!J57)</f>
        <v>0</v>
      </c>
      <c r="BH57" s="61">
        <f>SUM('AC-SVC'!M57)</f>
        <v>0</v>
      </c>
      <c r="BI57" s="61">
        <f>SUM('AC-SVC'!P57)*BI$7</f>
        <v>0</v>
      </c>
      <c r="BJ57" s="61">
        <f>SUM(PT!C57)</f>
        <v>0</v>
      </c>
      <c r="BK57" s="61">
        <f>SUM(CCLC!C57)</f>
        <v>0</v>
      </c>
      <c r="BL57" s="61">
        <f>SUM(FC!D57)</f>
        <v>0</v>
      </c>
      <c r="BM57" s="61">
        <f>SUM(FN!F57)*BM$7</f>
        <v>0</v>
      </c>
      <c r="BN57" s="61">
        <f>SUM(FS!D57)</f>
        <v>207872</v>
      </c>
      <c r="BO57" s="61">
        <f>SUM(IT!D57)</f>
        <v>0</v>
      </c>
      <c r="BP57" s="84"/>
      <c r="BQ57" s="62">
        <f t="shared" si="103"/>
        <v>207872</v>
      </c>
      <c r="BS57" s="95">
        <f>SUM(Sheet1!C57)</f>
        <v>172668.68</v>
      </c>
      <c r="BT57" s="288">
        <f>SUM(Sheet1!I57)</f>
        <v>178646.7683018868</v>
      </c>
    </row>
    <row r="58" spans="1:72" ht="12">
      <c r="A58" s="31" t="s">
        <v>0</v>
      </c>
      <c r="B58" s="31" t="s">
        <v>304</v>
      </c>
      <c r="C58" s="23"/>
      <c r="D58" s="23">
        <f t="shared" si="100"/>
        <v>0</v>
      </c>
      <c r="E58" s="157">
        <f t="shared" si="101"/>
        <v>0</v>
      </c>
      <c r="F58" s="23">
        <f t="shared" si="102"/>
        <v>0</v>
      </c>
      <c r="G58" s="23"/>
      <c r="H58" s="23"/>
      <c r="I58" s="167"/>
      <c r="J58" s="23"/>
      <c r="K58" s="23"/>
      <c r="L58" s="23"/>
      <c r="M58" s="23"/>
      <c r="N58" s="84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84"/>
      <c r="AN58" s="23"/>
      <c r="AO58" s="23"/>
      <c r="AP58" s="23"/>
      <c r="AQ58" s="23"/>
      <c r="AR58" s="23"/>
      <c r="AS58" s="23"/>
      <c r="AT58" s="84"/>
      <c r="AU58" s="23"/>
      <c r="AV58" s="23"/>
      <c r="AW58" s="23"/>
      <c r="AX58" s="23"/>
      <c r="AY58" s="23"/>
      <c r="AZ58" s="23"/>
      <c r="BA58" s="23"/>
      <c r="BB58" s="23"/>
      <c r="BC58" s="84"/>
      <c r="BD58" s="61">
        <f>SUM('AC-SVC'!C58)*BD$7</f>
        <v>0</v>
      </c>
      <c r="BE58" s="61">
        <f>SUM('AC-SVC'!D58)</f>
        <v>0</v>
      </c>
      <c r="BF58" s="61">
        <f>SUM('AC-SVC'!G58)</f>
        <v>0</v>
      </c>
      <c r="BG58" s="61">
        <f>SUM('AC-SVC'!J58)</f>
        <v>0</v>
      </c>
      <c r="BH58" s="61">
        <f>SUM('AC-SVC'!M58)</f>
        <v>0</v>
      </c>
      <c r="BI58" s="61">
        <f>SUM('AC-SVC'!P58)*BI$7</f>
        <v>0</v>
      </c>
      <c r="BJ58" s="61">
        <f>SUM(PT!C58)</f>
        <v>0</v>
      </c>
      <c r="BK58" s="61">
        <f>SUM(CCLC!C58)</f>
        <v>0</v>
      </c>
      <c r="BL58" s="61">
        <f>SUM(FC!D58)</f>
        <v>0</v>
      </c>
      <c r="BM58" s="61">
        <f>SUM(FN!F58)*BM$7</f>
        <v>0</v>
      </c>
      <c r="BN58" s="61">
        <f>SUM(FS!D58)</f>
        <v>0</v>
      </c>
      <c r="BO58" s="61">
        <f>SUM(IT!D58)</f>
        <v>17862</v>
      </c>
      <c r="BP58" s="84"/>
      <c r="BQ58" s="62">
        <f t="shared" si="103"/>
        <v>17862</v>
      </c>
      <c r="BS58" s="95">
        <f>SUM(Sheet1!C58)</f>
        <v>23346.5</v>
      </c>
      <c r="BT58" s="288">
        <f>SUM(Sheet1!I58)</f>
        <v>17795.44150943396</v>
      </c>
    </row>
    <row r="59" spans="1:72" ht="12">
      <c r="A59" s="31" t="s">
        <v>1</v>
      </c>
      <c r="B59" s="31" t="s">
        <v>305</v>
      </c>
      <c r="C59" s="23"/>
      <c r="D59" s="23">
        <f t="shared" si="100"/>
        <v>0</v>
      </c>
      <c r="E59" s="157">
        <f t="shared" si="101"/>
        <v>0</v>
      </c>
      <c r="F59" s="23">
        <f t="shared" si="102"/>
        <v>0</v>
      </c>
      <c r="G59" s="23"/>
      <c r="H59" s="23"/>
      <c r="I59" s="167"/>
      <c r="J59" s="23"/>
      <c r="K59" s="23"/>
      <c r="L59" s="23"/>
      <c r="M59" s="23"/>
      <c r="N59" s="84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84"/>
      <c r="AN59" s="23"/>
      <c r="AO59" s="23"/>
      <c r="AP59" s="23"/>
      <c r="AQ59" s="23"/>
      <c r="AR59" s="23"/>
      <c r="AS59" s="23"/>
      <c r="AT59" s="84"/>
      <c r="AU59" s="23"/>
      <c r="AV59" s="23"/>
      <c r="AW59" s="23"/>
      <c r="AX59" s="23"/>
      <c r="AY59" s="23"/>
      <c r="AZ59" s="23"/>
      <c r="BA59" s="23"/>
      <c r="BB59" s="23"/>
      <c r="BC59" s="84"/>
      <c r="BD59" s="61">
        <f>SUM('AC-SVC'!C59)*BD$7</f>
        <v>0</v>
      </c>
      <c r="BE59" s="61">
        <f>SUM('AC-SVC'!D59)</f>
        <v>0</v>
      </c>
      <c r="BF59" s="61">
        <f>SUM('AC-SVC'!G59)</f>
        <v>0</v>
      </c>
      <c r="BG59" s="61">
        <f>SUM('AC-SVC'!J59)</f>
        <v>0</v>
      </c>
      <c r="BH59" s="61">
        <f>SUM('AC-SVC'!M59)</f>
        <v>0</v>
      </c>
      <c r="BI59" s="61">
        <f>SUM('AC-SVC'!P59)*BI$7</f>
        <v>0</v>
      </c>
      <c r="BJ59" s="61">
        <f>SUM(PT!C59)</f>
        <v>0</v>
      </c>
      <c r="BK59" s="61">
        <f>SUM(CCLC!C59)</f>
        <v>0</v>
      </c>
      <c r="BL59" s="61">
        <f>SUM(FC!D59)</f>
        <v>0</v>
      </c>
      <c r="BM59" s="61">
        <f>SUM(FN!F59)*BM$7</f>
        <v>0</v>
      </c>
      <c r="BN59" s="61">
        <f>SUM(FS!D59)</f>
        <v>0</v>
      </c>
      <c r="BO59" s="61">
        <f>SUM(IT!D59)</f>
        <v>0</v>
      </c>
      <c r="BP59" s="84"/>
      <c r="BQ59" s="62">
        <f t="shared" si="103"/>
        <v>0</v>
      </c>
      <c r="BS59" s="95">
        <f>SUM(Sheet1!C59)</f>
        <v>312143.27</v>
      </c>
      <c r="BT59" s="288">
        <f>SUM(Sheet1!I59)</f>
        <v>188463.86113207549</v>
      </c>
    </row>
    <row r="60" spans="1:72" ht="12">
      <c r="A60" s="31" t="s">
        <v>3</v>
      </c>
      <c r="B60" s="31" t="s">
        <v>2</v>
      </c>
      <c r="C60" s="23"/>
      <c r="D60" s="23">
        <f t="shared" si="100"/>
        <v>0</v>
      </c>
      <c r="E60" s="157">
        <f t="shared" si="101"/>
        <v>0</v>
      </c>
      <c r="F60" s="23">
        <f t="shared" si="102"/>
        <v>0</v>
      </c>
      <c r="G60" s="23"/>
      <c r="H60" s="23"/>
      <c r="I60" s="167"/>
      <c r="J60" s="23"/>
      <c r="K60" s="23"/>
      <c r="L60" s="23"/>
      <c r="M60" s="23"/>
      <c r="N60" s="8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84"/>
      <c r="AN60" s="23"/>
      <c r="AO60" s="23"/>
      <c r="AP60" s="23"/>
      <c r="AQ60" s="23"/>
      <c r="AR60" s="23"/>
      <c r="AS60" s="23"/>
      <c r="AT60" s="84"/>
      <c r="AU60" s="23"/>
      <c r="AV60" s="23"/>
      <c r="AW60" s="23"/>
      <c r="AX60" s="23"/>
      <c r="AY60" s="23"/>
      <c r="AZ60" s="23"/>
      <c r="BA60" s="23"/>
      <c r="BB60" s="23"/>
      <c r="BC60" s="84"/>
      <c r="BD60" s="61">
        <f>SUM('AC-SVC'!C60)*BD$7</f>
        <v>0</v>
      </c>
      <c r="BE60" s="61">
        <f>SUM('AC-SVC'!D60)</f>
        <v>0</v>
      </c>
      <c r="BF60" s="61">
        <f>SUM('AC-SVC'!G60)</f>
        <v>0</v>
      </c>
      <c r="BG60" s="61">
        <f>SUM('AC-SVC'!J60)</f>
        <v>0</v>
      </c>
      <c r="BH60" s="61">
        <f>SUM('AC-SVC'!M60)</f>
        <v>0</v>
      </c>
      <c r="BI60" s="61">
        <f>SUM('AC-SVC'!P60)*BI$7</f>
        <v>0</v>
      </c>
      <c r="BJ60" s="61">
        <f>SUM(PT!C60)</f>
        <v>0</v>
      </c>
      <c r="BK60" s="61">
        <f>SUM(CCLC!C60)</f>
        <v>0</v>
      </c>
      <c r="BL60" s="61">
        <f>SUM(FC!D60)</f>
        <v>0</v>
      </c>
      <c r="BM60" s="61">
        <f>SUM(FN!F60)*BM$7</f>
        <v>0</v>
      </c>
      <c r="BN60" s="61">
        <f>SUM(FS!D60)</f>
        <v>0</v>
      </c>
      <c r="BO60" s="61">
        <f>SUM(IT!D60)</f>
        <v>0</v>
      </c>
      <c r="BP60" s="84"/>
      <c r="BQ60" s="62">
        <f t="shared" si="103"/>
        <v>0</v>
      </c>
      <c r="BS60" s="95">
        <f>SUM(Sheet1!C60)</f>
        <v>0</v>
      </c>
      <c r="BT60" s="288">
        <f>SUM(Sheet1!I60)</f>
        <v>0</v>
      </c>
    </row>
    <row r="61" spans="1:72" ht="12">
      <c r="A61" s="31" t="s">
        <v>4</v>
      </c>
      <c r="B61" s="31" t="s">
        <v>5</v>
      </c>
      <c r="C61" s="23"/>
      <c r="D61" s="23">
        <f t="shared" si="100"/>
        <v>0</v>
      </c>
      <c r="E61" s="157">
        <f t="shared" si="101"/>
        <v>0</v>
      </c>
      <c r="F61" s="23">
        <f t="shared" si="102"/>
        <v>0</v>
      </c>
      <c r="G61" s="23"/>
      <c r="H61" s="23"/>
      <c r="I61" s="167"/>
      <c r="J61" s="23"/>
      <c r="K61" s="23"/>
      <c r="L61" s="23"/>
      <c r="M61" s="23"/>
      <c r="N61" s="84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84"/>
      <c r="AN61" s="23"/>
      <c r="AO61" s="23"/>
      <c r="AP61" s="23"/>
      <c r="AQ61" s="23"/>
      <c r="AR61" s="23"/>
      <c r="AS61" s="23"/>
      <c r="AT61" s="84"/>
      <c r="AU61" s="23"/>
      <c r="AV61" s="23"/>
      <c r="AW61" s="23"/>
      <c r="AX61" s="23"/>
      <c r="AY61" s="23"/>
      <c r="AZ61" s="23"/>
      <c r="BA61" s="23"/>
      <c r="BB61" s="23"/>
      <c r="BC61" s="84"/>
      <c r="BD61" s="61">
        <f>SUM('AC-SVC'!C61)*BD$7</f>
        <v>0</v>
      </c>
      <c r="BE61" s="61">
        <f>SUM('AC-SVC'!D61)</f>
        <v>93567.251461988315</v>
      </c>
      <c r="BF61" s="61">
        <f>SUM('AC-SVC'!G61)</f>
        <v>0</v>
      </c>
      <c r="BG61" s="61">
        <f>SUM('AC-SVC'!J61)</f>
        <v>0</v>
      </c>
      <c r="BH61" s="61">
        <f>SUM('AC-SVC'!M61)</f>
        <v>0</v>
      </c>
      <c r="BI61" s="61">
        <f>SUM('AC-SVC'!P61)*BI$7</f>
        <v>0</v>
      </c>
      <c r="BJ61" s="61">
        <f>SUM(PT!C61)</f>
        <v>0</v>
      </c>
      <c r="BK61" s="61">
        <f>SUM(CCLC!C61)</f>
        <v>0</v>
      </c>
      <c r="BL61" s="61">
        <f>SUM(FC!D61)</f>
        <v>0</v>
      </c>
      <c r="BM61" s="61">
        <f>SUM(FN!F61)*BM$7</f>
        <v>0</v>
      </c>
      <c r="BN61" s="61">
        <f>SUM(FS!D61)</f>
        <v>0</v>
      </c>
      <c r="BO61" s="61">
        <f>SUM(IT!D61)</f>
        <v>0</v>
      </c>
      <c r="BP61" s="84"/>
      <c r="BQ61" s="62">
        <f t="shared" si="103"/>
        <v>93567.251461988315</v>
      </c>
      <c r="BS61" s="95">
        <f>SUM(Sheet1!C61)</f>
        <v>0</v>
      </c>
      <c r="BT61" s="288">
        <f>SUM(Sheet1!I61)</f>
        <v>0</v>
      </c>
    </row>
    <row r="62" spans="1:72" ht="12">
      <c r="A62" s="31" t="s">
        <v>6</v>
      </c>
      <c r="B62" s="31" t="s">
        <v>7</v>
      </c>
      <c r="C62" s="23"/>
      <c r="D62" s="23">
        <f t="shared" si="100"/>
        <v>0</v>
      </c>
      <c r="E62" s="157">
        <f t="shared" si="101"/>
        <v>0</v>
      </c>
      <c r="F62" s="23">
        <f t="shared" si="102"/>
        <v>0</v>
      </c>
      <c r="G62" s="23"/>
      <c r="H62" s="23"/>
      <c r="I62" s="167"/>
      <c r="J62" s="23"/>
      <c r="K62" s="23"/>
      <c r="L62" s="23"/>
      <c r="M62" s="23"/>
      <c r="N62" s="84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84"/>
      <c r="AN62" s="23"/>
      <c r="AO62" s="23"/>
      <c r="AP62" s="23"/>
      <c r="AQ62" s="23"/>
      <c r="AR62" s="23"/>
      <c r="AS62" s="23"/>
      <c r="AT62" s="84"/>
      <c r="AU62" s="23"/>
      <c r="AV62" s="23"/>
      <c r="AW62" s="23"/>
      <c r="AX62" s="23"/>
      <c r="AY62" s="23"/>
      <c r="AZ62" s="23"/>
      <c r="BA62" s="23"/>
      <c r="BB62" s="23"/>
      <c r="BC62" s="84"/>
      <c r="BD62" s="61">
        <f>SUM('AC-SVC'!C62)*BD$7</f>
        <v>0</v>
      </c>
      <c r="BE62" s="61">
        <f>SUM('AC-SVC'!D62)</f>
        <v>0</v>
      </c>
      <c r="BF62" s="61">
        <f>SUM('AC-SVC'!G62)</f>
        <v>0</v>
      </c>
      <c r="BG62" s="61">
        <f>SUM('AC-SVC'!J62)</f>
        <v>0</v>
      </c>
      <c r="BH62" s="61">
        <f>SUM('AC-SVC'!M62)</f>
        <v>0</v>
      </c>
      <c r="BI62" s="61">
        <f>SUM('AC-SVC'!P62)*BI$7</f>
        <v>0</v>
      </c>
      <c r="BJ62" s="61">
        <f>SUM(PT!C62)</f>
        <v>0</v>
      </c>
      <c r="BK62" s="61">
        <f>SUM(CCLC!C62)</f>
        <v>0</v>
      </c>
      <c r="BL62" s="61">
        <f>SUM(FC!D62)</f>
        <v>0</v>
      </c>
      <c r="BM62" s="61">
        <f>SUM(FN!F62)*BM$7</f>
        <v>0</v>
      </c>
      <c r="BN62" s="61">
        <f>SUM(FS!D62)</f>
        <v>0</v>
      </c>
      <c r="BO62" s="61">
        <f>SUM(IT!D62)</f>
        <v>0</v>
      </c>
      <c r="BP62" s="84"/>
      <c r="BQ62" s="62">
        <f t="shared" si="103"/>
        <v>0</v>
      </c>
      <c r="BS62" s="95">
        <f>SUM(Sheet1!C62)</f>
        <v>0</v>
      </c>
      <c r="BT62" s="288">
        <f>SUM(Sheet1!I62)</f>
        <v>189674.01056603776</v>
      </c>
    </row>
    <row r="63" spans="1:72" ht="12">
      <c r="A63" s="31" t="s">
        <v>8</v>
      </c>
      <c r="B63" s="31" t="s">
        <v>9</v>
      </c>
      <c r="C63" s="23"/>
      <c r="D63" s="23">
        <f t="shared" si="100"/>
        <v>0</v>
      </c>
      <c r="E63" s="157">
        <f t="shared" si="101"/>
        <v>0</v>
      </c>
      <c r="F63" s="23">
        <f t="shared" si="102"/>
        <v>0</v>
      </c>
      <c r="G63" s="23"/>
      <c r="H63" s="23"/>
      <c r="I63" s="167"/>
      <c r="J63" s="23"/>
      <c r="K63" s="23"/>
      <c r="L63" s="23"/>
      <c r="M63" s="23"/>
      <c r="N63" s="84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84"/>
      <c r="AN63" s="23"/>
      <c r="AO63" s="23"/>
      <c r="AP63" s="23"/>
      <c r="AQ63" s="23"/>
      <c r="AR63" s="23"/>
      <c r="AS63" s="23"/>
      <c r="AT63" s="84"/>
      <c r="AU63" s="23"/>
      <c r="AV63" s="23"/>
      <c r="AW63" s="23"/>
      <c r="AX63" s="23"/>
      <c r="AY63" s="23"/>
      <c r="AZ63" s="23"/>
      <c r="BA63" s="23"/>
      <c r="BB63" s="23"/>
      <c r="BC63" s="84"/>
      <c r="BD63" s="61">
        <f>SUM('AC-SVC'!C63)*BD$7</f>
        <v>0</v>
      </c>
      <c r="BE63" s="61">
        <f>SUM('AC-SVC'!D63)</f>
        <v>0</v>
      </c>
      <c r="BF63" s="61">
        <f>SUM('AC-SVC'!G63)</f>
        <v>0</v>
      </c>
      <c r="BG63" s="61">
        <f>SUM('AC-SVC'!J63)</f>
        <v>0</v>
      </c>
      <c r="BH63" s="61">
        <f>SUM('AC-SVC'!M63)</f>
        <v>0</v>
      </c>
      <c r="BI63" s="61">
        <f>SUM('AC-SVC'!P63)*BI$7</f>
        <v>0</v>
      </c>
      <c r="BJ63" s="61">
        <f>SUM(PT!C63)</f>
        <v>0</v>
      </c>
      <c r="BK63" s="61">
        <f>SUM(CCLC!C63)</f>
        <v>0</v>
      </c>
      <c r="BL63" s="61">
        <f>SUM(FC!D63)</f>
        <v>0</v>
      </c>
      <c r="BM63" s="61">
        <f>SUM(FN!F63)*BM$7</f>
        <v>0</v>
      </c>
      <c r="BN63" s="61">
        <f>SUM(FS!D63)</f>
        <v>0</v>
      </c>
      <c r="BO63" s="61">
        <f>SUM(IT!D63)</f>
        <v>0</v>
      </c>
      <c r="BP63" s="84"/>
      <c r="BQ63" s="62">
        <f t="shared" si="103"/>
        <v>0</v>
      </c>
      <c r="BS63" s="95">
        <f>SUM(Sheet1!C63)</f>
        <v>0</v>
      </c>
      <c r="BT63" s="288">
        <f>SUM(Sheet1!I63)</f>
        <v>0</v>
      </c>
    </row>
    <row r="64" spans="1:72" ht="12">
      <c r="A64" s="31" t="s">
        <v>11</v>
      </c>
      <c r="B64" s="31" t="s">
        <v>307</v>
      </c>
      <c r="C64" s="23"/>
      <c r="D64" s="23">
        <f t="shared" si="100"/>
        <v>0</v>
      </c>
      <c r="E64" s="157">
        <f t="shared" si="101"/>
        <v>0</v>
      </c>
      <c r="F64" s="23">
        <f t="shared" si="102"/>
        <v>0</v>
      </c>
      <c r="G64" s="23"/>
      <c r="H64" s="23"/>
      <c r="I64" s="167"/>
      <c r="J64" s="23"/>
      <c r="K64" s="23"/>
      <c r="L64" s="23"/>
      <c r="M64" s="23"/>
      <c r="N64" s="84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84"/>
      <c r="AN64" s="23"/>
      <c r="AO64" s="23"/>
      <c r="AP64" s="23"/>
      <c r="AQ64" s="23"/>
      <c r="AR64" s="23"/>
      <c r="AS64" s="23"/>
      <c r="AT64" s="84"/>
      <c r="AU64" s="23"/>
      <c r="AV64" s="23"/>
      <c r="AW64" s="23"/>
      <c r="AX64" s="23"/>
      <c r="AY64" s="23"/>
      <c r="AZ64" s="23"/>
      <c r="BA64" s="23"/>
      <c r="BB64" s="23"/>
      <c r="BC64" s="84"/>
      <c r="BD64" s="61">
        <f>SUM('AC-SVC'!C64)*BD$7</f>
        <v>0</v>
      </c>
      <c r="BE64" s="61">
        <f>SUM('AC-SVC'!D64)</f>
        <v>0</v>
      </c>
      <c r="BF64" s="61">
        <f>SUM('AC-SVC'!G64)</f>
        <v>0</v>
      </c>
      <c r="BG64" s="61">
        <f>SUM('AC-SVC'!J64)</f>
        <v>0</v>
      </c>
      <c r="BH64" s="61">
        <f>SUM('AC-SVC'!M64)</f>
        <v>0</v>
      </c>
      <c r="BI64" s="61">
        <f>SUM('AC-SVC'!P64)*BI$7</f>
        <v>0</v>
      </c>
      <c r="BJ64" s="61">
        <f>SUM(PT!C64)</f>
        <v>0</v>
      </c>
      <c r="BK64" s="61">
        <f>SUM(CCLC!C64)</f>
        <v>0</v>
      </c>
      <c r="BL64" s="61">
        <f>SUM(FC!D64)</f>
        <v>0</v>
      </c>
      <c r="BM64" s="61">
        <f>SUM(FN!F64)*BM$7</f>
        <v>0</v>
      </c>
      <c r="BN64" s="61">
        <f>SUM(FS!D64)</f>
        <v>0</v>
      </c>
      <c r="BO64" s="61">
        <f>SUM(IT!D64)</f>
        <v>0</v>
      </c>
      <c r="BP64" s="84"/>
      <c r="BQ64" s="62">
        <f t="shared" si="103"/>
        <v>0</v>
      </c>
      <c r="BS64" s="95">
        <f>SUM(Sheet1!C64)</f>
        <v>0</v>
      </c>
      <c r="BT64" s="288">
        <f>SUM(Sheet1!I64)</f>
        <v>0</v>
      </c>
    </row>
    <row r="65" spans="1:72" ht="12">
      <c r="A65" s="31" t="s">
        <v>10</v>
      </c>
      <c r="B65" s="31" t="s">
        <v>306</v>
      </c>
      <c r="C65" s="169"/>
      <c r="D65" s="169">
        <f t="shared" si="100"/>
        <v>0</v>
      </c>
      <c r="E65" s="169">
        <f t="shared" si="101"/>
        <v>0</v>
      </c>
      <c r="F65" s="169">
        <f t="shared" si="102"/>
        <v>0</v>
      </c>
      <c r="G65" s="169"/>
      <c r="H65" s="169"/>
      <c r="I65" s="167"/>
      <c r="J65" s="169"/>
      <c r="K65" s="169"/>
      <c r="L65" s="169"/>
      <c r="M65" s="169"/>
      <c r="N65" s="173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73"/>
      <c r="AN65" s="169"/>
      <c r="AO65" s="169"/>
      <c r="AP65" s="169"/>
      <c r="AQ65" s="169"/>
      <c r="AR65" s="169"/>
      <c r="AS65" s="169"/>
      <c r="AT65" s="173"/>
      <c r="AU65" s="169"/>
      <c r="AV65" s="169"/>
      <c r="AW65" s="169"/>
      <c r="AX65" s="169"/>
      <c r="AY65" s="169"/>
      <c r="AZ65" s="169"/>
      <c r="BA65" s="169"/>
      <c r="BB65" s="169"/>
      <c r="BC65" s="84"/>
      <c r="BD65" s="20">
        <f>SUM('AC-SVC'!C65)*BD$7</f>
        <v>0</v>
      </c>
      <c r="BE65" s="20">
        <f>SUM('AC-SVC'!D65)</f>
        <v>0</v>
      </c>
      <c r="BF65" s="20">
        <f>SUM('AC-SVC'!G65)</f>
        <v>0</v>
      </c>
      <c r="BG65" s="20">
        <f>SUM('AC-SVC'!J65)</f>
        <v>0</v>
      </c>
      <c r="BH65" s="20">
        <f>SUM('AC-SVC'!M65)</f>
        <v>0</v>
      </c>
      <c r="BI65" s="20">
        <f>SUM('AC-SVC'!P65)*BI$7</f>
        <v>0</v>
      </c>
      <c r="BJ65" s="20">
        <f>SUM(PT!C65)</f>
        <v>0</v>
      </c>
      <c r="BK65" s="20">
        <f>SUM(CCLC!C65)</f>
        <v>0</v>
      </c>
      <c r="BL65" s="20">
        <f>SUM(FC!D65)</f>
        <v>0</v>
      </c>
      <c r="BM65" s="20">
        <f>SUM(FN!F65)*BM$7</f>
        <v>0</v>
      </c>
      <c r="BN65" s="20">
        <f>SUM(FS!D65)</f>
        <v>0</v>
      </c>
      <c r="BO65" s="20">
        <f>SUM(IT!D65)</f>
        <v>0</v>
      </c>
      <c r="BP65" s="84"/>
      <c r="BQ65" s="63">
        <f t="shared" si="103"/>
        <v>0</v>
      </c>
      <c r="BS65" s="96">
        <f>SUM(Sheet1!C65)</f>
        <v>0</v>
      </c>
      <c r="BT65" s="288">
        <f>SUM(Sheet1!I65)</f>
        <v>0</v>
      </c>
    </row>
    <row r="66" spans="1:72" s="30" customFormat="1" ht="10">
      <c r="A66" s="31"/>
      <c r="B66" s="31" t="s">
        <v>308</v>
      </c>
      <c r="C66" s="49">
        <f t="shared" ref="C66:H66" si="104">SUM(C53:C65)</f>
        <v>0</v>
      </c>
      <c r="D66" s="49">
        <f t="shared" si="104"/>
        <v>0</v>
      </c>
      <c r="E66" s="49">
        <f t="shared" si="104"/>
        <v>0</v>
      </c>
      <c r="F66" s="49">
        <f t="shared" si="104"/>
        <v>0</v>
      </c>
      <c r="G66" s="49">
        <f t="shared" si="104"/>
        <v>0</v>
      </c>
      <c r="H66" s="49">
        <f t="shared" si="104"/>
        <v>0</v>
      </c>
      <c r="I66" s="170"/>
      <c r="J66" s="49">
        <f t="shared" ref="J66" si="105">SUM(J53:J65)</f>
        <v>0</v>
      </c>
      <c r="K66" s="49">
        <f t="shared" ref="K66" si="106">SUM(K53:K65)</f>
        <v>0</v>
      </c>
      <c r="L66" s="49">
        <f t="shared" ref="L66" si="107">SUM(L53:L65)</f>
        <v>0</v>
      </c>
      <c r="M66" s="49">
        <f t="shared" ref="M66" si="108">SUM(M53:M65)</f>
        <v>0</v>
      </c>
      <c r="N66" s="171"/>
      <c r="O66" s="49">
        <f t="shared" ref="O66" si="109">SUM(O53:O65)</f>
        <v>0</v>
      </c>
      <c r="P66" s="49">
        <f t="shared" ref="P66" si="110">SUM(P53:P65)</f>
        <v>0</v>
      </c>
      <c r="Q66" s="49">
        <f t="shared" ref="Q66" si="111">SUM(Q53:Q65)</f>
        <v>0</v>
      </c>
      <c r="R66" s="49">
        <f t="shared" ref="R66" si="112">SUM(R53:R65)</f>
        <v>0</v>
      </c>
      <c r="S66" s="49">
        <f t="shared" ref="S66" si="113">SUM(S53:S65)</f>
        <v>0</v>
      </c>
      <c r="T66" s="49">
        <f t="shared" ref="T66" si="114">SUM(T53:T65)</f>
        <v>0</v>
      </c>
      <c r="U66" s="49">
        <f t="shared" ref="U66" si="115">SUM(U53:U65)</f>
        <v>0</v>
      </c>
      <c r="V66" s="49">
        <f t="shared" ref="V66" si="116">SUM(V53:V65)</f>
        <v>0</v>
      </c>
      <c r="W66" s="49">
        <f t="shared" ref="W66" si="117">SUM(W53:W65)</f>
        <v>0</v>
      </c>
      <c r="X66" s="49">
        <f t="shared" ref="X66" si="118">SUM(X53:X65)</f>
        <v>0</v>
      </c>
      <c r="Y66" s="49">
        <f t="shared" ref="Y66" si="119">SUM(Y53:Y65)</f>
        <v>0</v>
      </c>
      <c r="Z66" s="49">
        <f t="shared" ref="Z66" si="120">SUM(Z53:Z65)</f>
        <v>0</v>
      </c>
      <c r="AA66" s="49">
        <f t="shared" ref="AA66" si="121">SUM(AA53:AA65)</f>
        <v>0</v>
      </c>
      <c r="AB66" s="49">
        <f t="shared" ref="AB66" si="122">SUM(AB53:AB65)</f>
        <v>0</v>
      </c>
      <c r="AC66" s="49">
        <f t="shared" ref="AC66" si="123">SUM(AC53:AC65)</f>
        <v>0</v>
      </c>
      <c r="AD66" s="49">
        <f t="shared" ref="AD66" si="124">SUM(AD53:AD65)</f>
        <v>0</v>
      </c>
      <c r="AE66" s="49">
        <f t="shared" ref="AE66" si="125">SUM(AE53:AE65)</f>
        <v>0</v>
      </c>
      <c r="AF66" s="49">
        <f t="shared" ref="AF66" si="126">SUM(AF53:AF65)</f>
        <v>0</v>
      </c>
      <c r="AG66" s="49">
        <f t="shared" ref="AG66" si="127">SUM(AG53:AG65)</f>
        <v>0</v>
      </c>
      <c r="AH66" s="49">
        <f t="shared" ref="AH66" si="128">SUM(AH53:AH65)</f>
        <v>0</v>
      </c>
      <c r="AI66" s="49">
        <f t="shared" ref="AI66" si="129">SUM(AI53:AI65)</f>
        <v>0</v>
      </c>
      <c r="AJ66" s="49">
        <f t="shared" ref="AJ66" si="130">SUM(AJ53:AJ65)</f>
        <v>0</v>
      </c>
      <c r="AK66" s="49">
        <f t="shared" ref="AK66" si="131">SUM(AK53:AK65)</f>
        <v>0</v>
      </c>
      <c r="AL66" s="49">
        <f t="shared" ref="AL66" si="132">SUM(AL53:AL65)</f>
        <v>0</v>
      </c>
      <c r="AM66" s="171"/>
      <c r="AN66" s="49">
        <f t="shared" ref="AN66" si="133">SUM(AN53:AN65)</f>
        <v>0</v>
      </c>
      <c r="AO66" s="49">
        <f t="shared" ref="AO66" si="134">SUM(AO53:AO65)</f>
        <v>0</v>
      </c>
      <c r="AP66" s="49">
        <f t="shared" ref="AP66" si="135">SUM(AP53:AP65)</f>
        <v>0</v>
      </c>
      <c r="AQ66" s="49">
        <f t="shared" ref="AQ66" si="136">SUM(AQ53:AQ65)</f>
        <v>0</v>
      </c>
      <c r="AR66" s="49">
        <f t="shared" ref="AR66" si="137">SUM(AR53:AR65)</f>
        <v>0</v>
      </c>
      <c r="AS66" s="49">
        <f t="shared" ref="AS66" si="138">SUM(AS53:AS65)</f>
        <v>0</v>
      </c>
      <c r="AT66" s="171"/>
      <c r="AU66" s="49">
        <f t="shared" ref="AU66" si="139">SUM(AU53:AU65)</f>
        <v>0</v>
      </c>
      <c r="AV66" s="49">
        <f t="shared" ref="AV66" si="140">SUM(AV53:AV65)</f>
        <v>0</v>
      </c>
      <c r="AW66" s="49">
        <f t="shared" ref="AW66" si="141">SUM(AW53:AW65)</f>
        <v>0</v>
      </c>
      <c r="AX66" s="49">
        <f t="shared" ref="AX66" si="142">SUM(AX53:AX65)</f>
        <v>0</v>
      </c>
      <c r="AY66" s="49">
        <f t="shared" ref="AY66" si="143">SUM(AY53:AY65)</f>
        <v>0</v>
      </c>
      <c r="AZ66" s="49">
        <f t="shared" ref="AZ66" si="144">SUM(AZ53:AZ65)</f>
        <v>0</v>
      </c>
      <c r="BA66" s="49">
        <f t="shared" ref="BA66" si="145">SUM(BA53:BA65)</f>
        <v>0</v>
      </c>
      <c r="BB66" s="49">
        <f t="shared" ref="BB66" si="146">SUM(BB53:BB65)</f>
        <v>0</v>
      </c>
      <c r="BC66" s="171"/>
      <c r="BD66" s="41">
        <f t="shared" ref="BD66:BI66" si="147">+SUM(BD53:BD65)</f>
        <v>0</v>
      </c>
      <c r="BE66" s="49">
        <f t="shared" si="147"/>
        <v>337540.76870336762</v>
      </c>
      <c r="BF66" s="41">
        <f t="shared" si="147"/>
        <v>0</v>
      </c>
      <c r="BG66" s="41">
        <f t="shared" si="147"/>
        <v>0</v>
      </c>
      <c r="BH66" s="41">
        <f t="shared" si="147"/>
        <v>0</v>
      </c>
      <c r="BI66" s="41">
        <f t="shared" si="147"/>
        <v>0</v>
      </c>
      <c r="BJ66" s="41">
        <f>+SUM(BJ53:BJ65)</f>
        <v>0</v>
      </c>
      <c r="BK66" s="41">
        <f>+SUM(BK53:BK65)</f>
        <v>0</v>
      </c>
      <c r="BL66" s="41">
        <f>+SUM(BL53:BL65)</f>
        <v>0</v>
      </c>
      <c r="BM66" s="41">
        <f t="shared" ref="BM66" si="148">+SUM(BM53:BM65)</f>
        <v>0</v>
      </c>
      <c r="BN66" s="41">
        <f>+SUM(BN53:BN65)</f>
        <v>207872</v>
      </c>
      <c r="BO66" s="41">
        <f t="shared" ref="BO66" si="149">+SUM(BO53:BO65)</f>
        <v>17862</v>
      </c>
      <c r="BP66" s="171"/>
      <c r="BQ66" s="49">
        <f>SUM(BQ53:BQ65)</f>
        <v>563274.76870336756</v>
      </c>
      <c r="BS66" s="94">
        <f>SUM(BS53:BS65)</f>
        <v>844828.06</v>
      </c>
      <c r="BT66" s="293">
        <f>SUM(BT53:BT65)</f>
        <v>788140.74566037732</v>
      </c>
    </row>
    <row r="67" spans="1:72">
      <c r="C67" s="23"/>
      <c r="D67" s="23"/>
      <c r="E67" s="23"/>
      <c r="F67" s="23"/>
      <c r="G67" s="23"/>
      <c r="H67" s="23"/>
      <c r="I67" s="167"/>
      <c r="J67" s="23"/>
      <c r="K67" s="23"/>
      <c r="L67" s="23"/>
      <c r="M67" s="23"/>
      <c r="N67" s="84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84"/>
      <c r="AN67" s="23"/>
      <c r="AO67" s="23"/>
      <c r="AP67" s="23"/>
      <c r="AQ67" s="23"/>
      <c r="AR67" s="23"/>
      <c r="AS67" s="23"/>
      <c r="AT67" s="84"/>
      <c r="AU67" s="23"/>
      <c r="AV67" s="23"/>
      <c r="AW67" s="23"/>
      <c r="AX67" s="23"/>
      <c r="AY67" s="23"/>
      <c r="AZ67" s="23"/>
      <c r="BA67" s="23"/>
      <c r="BB67" s="23"/>
      <c r="BC67" s="84"/>
      <c r="BD67" s="21"/>
      <c r="BE67" s="23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84"/>
      <c r="BS67" s="94"/>
    </row>
    <row r="68" spans="1:72" s="30" customFormat="1" ht="12">
      <c r="A68" s="35"/>
      <c r="B68" s="35" t="s">
        <v>309</v>
      </c>
      <c r="C68" s="49">
        <f t="shared" ref="C68:BB68" si="150">SUM(C38+C49+C66)</f>
        <v>5880640</v>
      </c>
      <c r="D68" s="49">
        <f t="shared" si="150"/>
        <v>0</v>
      </c>
      <c r="E68" s="49">
        <f t="shared" si="150"/>
        <v>0</v>
      </c>
      <c r="F68" s="49">
        <f t="shared" si="150"/>
        <v>0</v>
      </c>
      <c r="G68" s="49">
        <f t="shared" si="150"/>
        <v>0</v>
      </c>
      <c r="H68" s="49">
        <f t="shared" si="150"/>
        <v>0</v>
      </c>
      <c r="I68" s="170"/>
      <c r="J68" s="49">
        <f t="shared" si="150"/>
        <v>0</v>
      </c>
      <c r="K68" s="49">
        <f t="shared" si="150"/>
        <v>0</v>
      </c>
      <c r="L68" s="49">
        <f t="shared" si="150"/>
        <v>0</v>
      </c>
      <c r="M68" s="49">
        <f t="shared" si="150"/>
        <v>0</v>
      </c>
      <c r="N68" s="171"/>
      <c r="O68" s="49">
        <f t="shared" si="150"/>
        <v>0</v>
      </c>
      <c r="P68" s="49">
        <f t="shared" si="150"/>
        <v>0</v>
      </c>
      <c r="Q68" s="49">
        <f t="shared" si="150"/>
        <v>0</v>
      </c>
      <c r="R68" s="49">
        <f t="shared" si="150"/>
        <v>0</v>
      </c>
      <c r="S68" s="49">
        <f t="shared" si="150"/>
        <v>0</v>
      </c>
      <c r="T68" s="49">
        <f t="shared" si="150"/>
        <v>0</v>
      </c>
      <c r="U68" s="49">
        <f t="shared" si="150"/>
        <v>0</v>
      </c>
      <c r="V68" s="49">
        <f t="shared" si="150"/>
        <v>0</v>
      </c>
      <c r="W68" s="49">
        <f t="shared" si="150"/>
        <v>0</v>
      </c>
      <c r="X68" s="49">
        <f t="shared" si="150"/>
        <v>0</v>
      </c>
      <c r="Y68" s="49">
        <f t="shared" si="150"/>
        <v>0</v>
      </c>
      <c r="Z68" s="49">
        <f t="shared" si="150"/>
        <v>0</v>
      </c>
      <c r="AA68" s="49">
        <f t="shared" si="150"/>
        <v>0</v>
      </c>
      <c r="AB68" s="49">
        <f t="shared" si="150"/>
        <v>0</v>
      </c>
      <c r="AC68" s="49">
        <f t="shared" si="150"/>
        <v>0</v>
      </c>
      <c r="AD68" s="49">
        <f t="shared" si="150"/>
        <v>0</v>
      </c>
      <c r="AE68" s="49">
        <f t="shared" si="150"/>
        <v>0</v>
      </c>
      <c r="AF68" s="49">
        <f t="shared" si="150"/>
        <v>0</v>
      </c>
      <c r="AG68" s="49">
        <f t="shared" si="150"/>
        <v>0</v>
      </c>
      <c r="AH68" s="49">
        <f t="shared" si="150"/>
        <v>0</v>
      </c>
      <c r="AI68" s="49">
        <f t="shared" si="150"/>
        <v>0</v>
      </c>
      <c r="AJ68" s="49">
        <f t="shared" si="150"/>
        <v>0</v>
      </c>
      <c r="AK68" s="49">
        <f t="shared" si="150"/>
        <v>0</v>
      </c>
      <c r="AL68" s="49">
        <f t="shared" si="150"/>
        <v>0</v>
      </c>
      <c r="AM68" s="171"/>
      <c r="AN68" s="49">
        <f t="shared" si="150"/>
        <v>0</v>
      </c>
      <c r="AO68" s="49">
        <f t="shared" si="150"/>
        <v>0</v>
      </c>
      <c r="AP68" s="49">
        <f t="shared" si="150"/>
        <v>0</v>
      </c>
      <c r="AQ68" s="49">
        <f t="shared" si="150"/>
        <v>0</v>
      </c>
      <c r="AR68" s="49">
        <f t="shared" si="150"/>
        <v>0</v>
      </c>
      <c r="AS68" s="49">
        <f t="shared" si="150"/>
        <v>0</v>
      </c>
      <c r="AT68" s="171"/>
      <c r="AU68" s="49">
        <f t="shared" si="150"/>
        <v>0</v>
      </c>
      <c r="AV68" s="49">
        <f t="shared" si="150"/>
        <v>0</v>
      </c>
      <c r="AW68" s="49">
        <f t="shared" si="150"/>
        <v>0</v>
      </c>
      <c r="AX68" s="49">
        <f t="shared" si="150"/>
        <v>0</v>
      </c>
      <c r="AY68" s="49">
        <f t="shared" si="150"/>
        <v>0</v>
      </c>
      <c r="AZ68" s="49">
        <f t="shared" si="150"/>
        <v>0</v>
      </c>
      <c r="BA68" s="49">
        <f t="shared" si="150"/>
        <v>0</v>
      </c>
      <c r="BB68" s="49">
        <f t="shared" si="150"/>
        <v>0</v>
      </c>
      <c r="BC68" s="171"/>
      <c r="BD68" s="41">
        <f t="shared" ref="BD68:BI68" si="151">+BD66+BD49+BD38</f>
        <v>0</v>
      </c>
      <c r="BE68" s="49">
        <f t="shared" si="151"/>
        <v>337540.76870336762</v>
      </c>
      <c r="BF68" s="41">
        <f t="shared" si="151"/>
        <v>0</v>
      </c>
      <c r="BG68" s="41">
        <f t="shared" si="151"/>
        <v>0</v>
      </c>
      <c r="BH68" s="41">
        <f t="shared" si="151"/>
        <v>800</v>
      </c>
      <c r="BI68" s="41">
        <f t="shared" si="151"/>
        <v>0</v>
      </c>
      <c r="BJ68" s="41">
        <f>+BJ38+BJ49+BJ66</f>
        <v>74700</v>
      </c>
      <c r="BK68" s="41">
        <f t="shared" ref="BK68:BL68" si="152">+BK38+BK49+BK66</f>
        <v>0</v>
      </c>
      <c r="BL68" s="41">
        <f t="shared" si="152"/>
        <v>0</v>
      </c>
      <c r="BM68" s="41">
        <f t="shared" ref="BM68" si="153">+BM66+BM49+BM38</f>
        <v>0</v>
      </c>
      <c r="BN68" s="41">
        <f>+BN66+BN49+BN38</f>
        <v>310272</v>
      </c>
      <c r="BO68" s="41">
        <f t="shared" ref="BO68:BQ68" si="154">+BO66+BO49+BO38</f>
        <v>17862</v>
      </c>
      <c r="BP68" s="171"/>
      <c r="BQ68" s="41">
        <f t="shared" si="154"/>
        <v>6621814.7687033676</v>
      </c>
      <c r="BS68" s="94">
        <f>SUM(BS38+BS49+BS66)</f>
        <v>6546195.2000000011</v>
      </c>
      <c r="BT68" s="280">
        <f>SUM(BT38+BT49+BT66)</f>
        <v>6762078.6475471705</v>
      </c>
    </row>
    <row r="69" spans="1:72">
      <c r="C69" s="23"/>
      <c r="D69" s="23"/>
      <c r="E69" s="23"/>
      <c r="F69" s="23"/>
      <c r="G69" s="23"/>
      <c r="H69" s="23"/>
      <c r="I69" s="167"/>
      <c r="J69" s="23"/>
      <c r="K69" s="23"/>
      <c r="L69" s="23"/>
      <c r="M69" s="23"/>
      <c r="N69" s="84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84"/>
      <c r="AN69" s="23"/>
      <c r="AO69" s="23"/>
      <c r="AP69" s="23"/>
      <c r="AQ69" s="23"/>
      <c r="AR69" s="23"/>
      <c r="AS69" s="23"/>
      <c r="AT69" s="84"/>
      <c r="AU69" s="23"/>
      <c r="AV69" s="23"/>
      <c r="AW69" s="23"/>
      <c r="AX69" s="23"/>
      <c r="AY69" s="23"/>
      <c r="AZ69" s="23"/>
      <c r="BA69" s="23"/>
      <c r="BB69" s="23"/>
      <c r="BC69" s="84"/>
      <c r="BD69" s="21"/>
      <c r="BE69" s="23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84"/>
      <c r="BS69" s="94"/>
    </row>
    <row r="70" spans="1:72">
      <c r="A70" s="31" t="s">
        <v>310</v>
      </c>
      <c r="C70" s="23"/>
      <c r="D70" s="23"/>
      <c r="E70" s="23"/>
      <c r="F70" s="23"/>
      <c r="G70" s="23"/>
      <c r="H70" s="23"/>
      <c r="I70" s="167"/>
      <c r="J70" s="23"/>
      <c r="K70" s="23"/>
      <c r="L70" s="23"/>
      <c r="M70" s="23"/>
      <c r="N70" s="84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84"/>
      <c r="AN70" s="23"/>
      <c r="AO70" s="23"/>
      <c r="AP70" s="23"/>
      <c r="AQ70" s="23"/>
      <c r="AR70" s="23"/>
      <c r="AS70" s="23"/>
      <c r="AT70" s="84"/>
      <c r="AU70" s="23"/>
      <c r="AV70" s="23"/>
      <c r="AW70" s="23"/>
      <c r="AX70" s="23"/>
      <c r="AY70" s="23"/>
      <c r="AZ70" s="23"/>
      <c r="BA70" s="23"/>
      <c r="BB70" s="23"/>
      <c r="BC70" s="84"/>
      <c r="BD70" s="21"/>
      <c r="BE70" s="23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84"/>
      <c r="BS70" s="94"/>
    </row>
    <row r="71" spans="1:72">
      <c r="A71" s="31" t="s">
        <v>311</v>
      </c>
      <c r="C71" s="23"/>
      <c r="D71" s="23"/>
      <c r="E71" s="23"/>
      <c r="F71" s="23"/>
      <c r="G71" s="23"/>
      <c r="H71" s="23"/>
      <c r="I71" s="167"/>
      <c r="J71" s="23"/>
      <c r="K71" s="23"/>
      <c r="L71" s="23"/>
      <c r="M71" s="23"/>
      <c r="N71" s="84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84"/>
      <c r="AN71" s="23"/>
      <c r="AO71" s="23"/>
      <c r="AP71" s="23"/>
      <c r="AQ71" s="23"/>
      <c r="AR71" s="23"/>
      <c r="AS71" s="23"/>
      <c r="AT71" s="84"/>
      <c r="AU71" s="23"/>
      <c r="AV71" s="23"/>
      <c r="AW71" s="23"/>
      <c r="AX71" s="23"/>
      <c r="AY71" s="23"/>
      <c r="AZ71" s="23"/>
      <c r="BA71" s="23"/>
      <c r="BB71" s="23"/>
      <c r="BC71" s="84"/>
      <c r="BD71" s="21"/>
      <c r="BE71" s="23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84"/>
      <c r="BS71" s="94"/>
    </row>
    <row r="72" spans="1:72" ht="12">
      <c r="A72" s="31" t="s">
        <v>19</v>
      </c>
      <c r="B72" s="31" t="s">
        <v>320</v>
      </c>
      <c r="C72" s="23"/>
      <c r="D72" s="23">
        <f t="shared" ref="D72:D79" si="155">SUM(J72:M72)</f>
        <v>0</v>
      </c>
      <c r="E72" s="157">
        <f t="shared" ref="E72:E79" si="156">SUM(O72:AS72)</f>
        <v>0</v>
      </c>
      <c r="F72" s="23">
        <f t="shared" ref="F72:F79" si="157">SUM(AU72:BB72)</f>
        <v>0</v>
      </c>
      <c r="G72" s="23">
        <f>SUM('13-2014 Ret Emp'!I62)</f>
        <v>87688.54305489338</v>
      </c>
      <c r="H72" s="23">
        <v>116216</v>
      </c>
      <c r="I72" s="167"/>
      <c r="J72" s="23"/>
      <c r="K72" s="23"/>
      <c r="L72" s="23"/>
      <c r="M72" s="23"/>
      <c r="N72" s="84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84"/>
      <c r="AN72" s="23"/>
      <c r="AO72" s="23"/>
      <c r="AP72" s="23"/>
      <c r="AQ72" s="23"/>
      <c r="AR72" s="23"/>
      <c r="AS72" s="23"/>
      <c r="AT72" s="84"/>
      <c r="AU72" s="23"/>
      <c r="AV72" s="23"/>
      <c r="AW72" s="23"/>
      <c r="AX72" s="23"/>
      <c r="AY72" s="23"/>
      <c r="AZ72" s="23"/>
      <c r="BA72" s="23"/>
      <c r="BB72" s="23"/>
      <c r="BC72" s="84"/>
      <c r="BD72" s="61">
        <f>SUM('AC-SVC'!C72)*BD$7</f>
        <v>0</v>
      </c>
      <c r="BE72" s="61">
        <f>SUM('AC-SVC'!D72)</f>
        <v>0</v>
      </c>
      <c r="BF72" s="61">
        <f>SUM('AC-SVC'!G72)</f>
        <v>0</v>
      </c>
      <c r="BG72" s="61">
        <f>SUM('AC-SVC'!J72)</f>
        <v>0</v>
      </c>
      <c r="BH72" s="61">
        <f>SUM('AC-SVC'!M72)</f>
        <v>0</v>
      </c>
      <c r="BI72" s="61">
        <f>SUM('AC-SVC'!P72)*BI$7</f>
        <v>0</v>
      </c>
      <c r="BJ72" s="61">
        <f>SUM(PT!C72)</f>
        <v>0</v>
      </c>
      <c r="BK72" s="61">
        <f>SUM(CCLC!C72)</f>
        <v>0</v>
      </c>
      <c r="BL72" s="61">
        <f>SUM(FC!D72)</f>
        <v>0</v>
      </c>
      <c r="BM72" s="61">
        <f>SUM(FN!F72)*BM$7</f>
        <v>0</v>
      </c>
      <c r="BN72" s="61">
        <f>SUM(FS!D72)</f>
        <v>0</v>
      </c>
      <c r="BO72" s="61">
        <f>SUM(IT!D72)</f>
        <v>0</v>
      </c>
      <c r="BP72" s="84"/>
      <c r="BQ72" s="62">
        <f t="shared" ref="BQ72:BQ79" si="158">SUM(C72:H72)+SUM(BD72:BO72)</f>
        <v>203904.54305489338</v>
      </c>
      <c r="BS72" s="95">
        <f>SUM(Sheet1!C72)</f>
        <v>227675.3</v>
      </c>
      <c r="BT72" s="288">
        <f>SUM(Sheet1!I72)</f>
        <v>299000.54339622642</v>
      </c>
    </row>
    <row r="73" spans="1:72" ht="12">
      <c r="A73" s="31" t="s">
        <v>12</v>
      </c>
      <c r="B73" s="31" t="s">
        <v>312</v>
      </c>
      <c r="C73" s="23"/>
      <c r="D73" s="23">
        <f t="shared" si="155"/>
        <v>181541.68992621289</v>
      </c>
      <c r="E73" s="157">
        <f t="shared" si="156"/>
        <v>1548988.5146653121</v>
      </c>
      <c r="F73" s="23">
        <f t="shared" si="157"/>
        <v>536745.66869810829</v>
      </c>
      <c r="G73" s="23"/>
      <c r="H73" s="23"/>
      <c r="I73" s="167"/>
      <c r="J73" s="23">
        <f>SUM('13-2014 Ret Emp'!G11)</f>
        <v>56632.029171525392</v>
      </c>
      <c r="K73" s="23">
        <v>40553</v>
      </c>
      <c r="L73" s="23">
        <f>SUM('AC-SCH'!D65)</f>
        <v>41957</v>
      </c>
      <c r="M73" s="23">
        <f>+'AC-SCH'!D43</f>
        <v>42399.660754687487</v>
      </c>
      <c r="N73" s="84"/>
      <c r="O73" s="23">
        <f>SUM('13-2014 Ret Emp'!I43)</f>
        <v>44459.652273554668</v>
      </c>
      <c r="P73" s="23">
        <f>SUM('13-2014 Ret Emp'!I44)</f>
        <v>52951.366254872482</v>
      </c>
      <c r="Q73" s="23">
        <f>SUM('13-2014 Ret Emp'!I31)</f>
        <v>44546.143580393531</v>
      </c>
      <c r="R73" s="23">
        <v>34411</v>
      </c>
      <c r="S73" s="23">
        <f>SUM('13-2014 Ret Emp'!I46)</f>
        <v>42399.660754687487</v>
      </c>
      <c r="T73" s="23">
        <f>SUM('13-2014 Ret Emp'!I45)</f>
        <v>45659.797169903366</v>
      </c>
      <c r="U73" s="23">
        <f>SUM('13-2014 Ret Emp'!I34)</f>
        <v>45659.797169903366</v>
      </c>
      <c r="V73" s="23">
        <f>SUM('13-2014 Ret Emp'!I33)</f>
        <v>40553.469000000005</v>
      </c>
      <c r="W73" s="23">
        <f>SUM('13-2014 Ret Emp'!I27)</f>
        <v>47971.324401629718</v>
      </c>
      <c r="X73" s="23">
        <f>SUM('13-2014 Ret Emp'!I47)</f>
        <v>43459.652273554668</v>
      </c>
      <c r="Y73" s="23">
        <f>SUM('13-2014 Ret Emp'!G51)</f>
        <v>48971.324401629718</v>
      </c>
      <c r="Z73" s="23">
        <f>SUM('13-2014 Ret Emp'!I35)</f>
        <v>40553.469000000005</v>
      </c>
      <c r="AA73" s="23">
        <f>SUM('13-2014 Ret Emp'!I36)</f>
        <v>44546.143580393531</v>
      </c>
      <c r="AB73" s="23">
        <f>SUM('13-2014 Ret Emp'!I28)</f>
        <v>44546.143580393531</v>
      </c>
      <c r="AC73" s="23">
        <f>SUM('13-2014 Ret Emp'!I49)</f>
        <v>43459.652273554668</v>
      </c>
      <c r="AD73" s="23">
        <f>SUM('13-2014 Ret Emp'!I48)</f>
        <v>45659.797169903366</v>
      </c>
      <c r="AE73" s="23">
        <f>SUM('AC-SCH'!D65)</f>
        <v>41957</v>
      </c>
      <c r="AF73" s="23">
        <f>SUM('13-2014 Ret Emp'!I39)</f>
        <v>45659.797169903366</v>
      </c>
      <c r="AG73" s="23">
        <f>SUM('13-2014 Ret Emp'!I29)</f>
        <v>48301.292099150945</v>
      </c>
      <c r="AH73" s="23">
        <f>SUM('13-2014 Ret Emp'!I51)</f>
        <v>50170.60751167046</v>
      </c>
      <c r="AI73" s="23">
        <f>SUM('13-2014 Ret Emp'!I50)</f>
        <v>45659.797169903366</v>
      </c>
      <c r="AJ73" s="23">
        <f>SUM('13-2014 Ret Emp'!I38)</f>
        <v>45659.797169903366</v>
      </c>
      <c r="AK73" s="23">
        <f>+'AC-SCH'!D69</f>
        <v>43832</v>
      </c>
      <c r="AL73" s="23">
        <f>SUM('13-2014 Ret Emp'!I30)</f>
        <v>42399.660754687487</v>
      </c>
      <c r="AM73" s="84"/>
      <c r="AN73" s="23">
        <f>SUM('13-2014 Ret Emp'!I24+'13-2014 Ret Emp'!I25+'AC-SCH'!D173*0.5)</f>
        <v>104436.03792459086</v>
      </c>
      <c r="AO73" s="23">
        <v>124735</v>
      </c>
      <c r="AP73" s="23">
        <f>+'13-2014 Ret Emp'!I40+'AC-SCH'!D40</f>
        <v>76429.494222120673</v>
      </c>
      <c r="AQ73" s="23">
        <f>SUM('13-2014 Ret Emp'!I26)</f>
        <v>43459.652273554668</v>
      </c>
      <c r="AR73" s="23">
        <f>SUM('AC-SCH'!D188)*2+'AC-SCH'!D187</f>
        <v>92068.696760453153</v>
      </c>
      <c r="AS73" s="23">
        <f>SUM('AC-SCH'!D175)*AS7</f>
        <v>34411.288724999991</v>
      </c>
      <c r="AT73" s="84"/>
      <c r="AU73" s="23">
        <f>+'13-2014 Ret Emp'!I54+'13-2014 Ret Emp'!I53</f>
        <v>84013.121273554672</v>
      </c>
      <c r="AV73" s="23">
        <v>65099</v>
      </c>
      <c r="AW73" s="23">
        <f>SUM('13-2014 Ret Emp'!I55)</f>
        <v>44546.143580393531</v>
      </c>
      <c r="AX73" s="23">
        <f>SUM('13-2014 Ret Emp'!I57)*1.5</f>
        <v>65189.478410331998</v>
      </c>
      <c r="AY73" s="23">
        <f>+'AC-SCH'!D67</f>
        <v>42926</v>
      </c>
      <c r="AZ73" s="23">
        <f>+'AC-SCH'!D44*2</f>
        <v>86919.304547109336</v>
      </c>
      <c r="BA73" s="23">
        <f>SUM('13-2014 Ret Emp'!I56)*1.5</f>
        <v>65099.491132031231</v>
      </c>
      <c r="BB73" s="23">
        <f>+'AC-SCH'!D43+'13-2014 Ret Emp'!I52</f>
        <v>82953.129754687485</v>
      </c>
      <c r="BC73" s="84"/>
      <c r="BD73" s="61">
        <f>SUM('AC-SVC'!C86)*BD$7</f>
        <v>0</v>
      </c>
      <c r="BE73" s="61">
        <f>SUM('AC-SVC'!D73)</f>
        <v>0</v>
      </c>
      <c r="BF73" s="61">
        <f>SUM('AC-SVC'!G73)</f>
        <v>0</v>
      </c>
      <c r="BG73" s="61">
        <f>SUM('AC-SVC'!J73)</f>
        <v>0</v>
      </c>
      <c r="BH73" s="61">
        <f>SUM('AC-SVC'!M73)</f>
        <v>37593.065763000006</v>
      </c>
      <c r="BI73" s="61">
        <f>SUM('AC-SVC'!P73)*BI$7</f>
        <v>0</v>
      </c>
      <c r="BJ73" s="61">
        <f>SUM(PT!C73)</f>
        <v>28533.06</v>
      </c>
      <c r="BK73" s="61">
        <f>SUM(CCLC!C73)</f>
        <v>0</v>
      </c>
      <c r="BL73" s="61">
        <f>SUM(FC!D73)</f>
        <v>0</v>
      </c>
      <c r="BM73" s="61">
        <f>SUM(FN!F73)*BM$7</f>
        <v>0</v>
      </c>
      <c r="BN73" s="61">
        <f>SUM(FS!D73)</f>
        <v>0</v>
      </c>
      <c r="BO73" s="61">
        <f>SUM(IT!D73)</f>
        <v>0</v>
      </c>
      <c r="BP73" s="84"/>
      <c r="BQ73" s="62">
        <f t="shared" si="158"/>
        <v>2333401.9990526335</v>
      </c>
      <c r="BS73" s="95">
        <f>SUM(Sheet1!C73)</f>
        <v>2304245.42</v>
      </c>
      <c r="BT73" s="288">
        <f>BQ73</f>
        <v>2333401.9990526335</v>
      </c>
    </row>
    <row r="74" spans="1:72" ht="12">
      <c r="A74" s="31" t="s">
        <v>13</v>
      </c>
      <c r="B74" s="31" t="s">
        <v>313</v>
      </c>
      <c r="C74" s="23"/>
      <c r="D74" s="23">
        <f t="shared" si="155"/>
        <v>106975.35380161225</v>
      </c>
      <c r="E74" s="157">
        <f t="shared" si="156"/>
        <v>349540.58769531327</v>
      </c>
      <c r="F74" s="23">
        <f t="shared" si="157"/>
        <v>0</v>
      </c>
      <c r="G74" s="23"/>
      <c r="H74" s="23"/>
      <c r="I74" s="167"/>
      <c r="J74" s="23">
        <f>SUM('13-2014 Ret Emp'!I7)</f>
        <v>30990.443680806125</v>
      </c>
      <c r="K74" s="23">
        <f>SUM('13-2014 Ret Emp'!I8)</f>
        <v>30990.443680806125</v>
      </c>
      <c r="L74" s="23">
        <f>SUM('AC-SCH'!D82)</f>
        <v>22497.233219999998</v>
      </c>
      <c r="M74" s="23">
        <f>SUM('AC-SCH'!D82)</f>
        <v>22497.233219999998</v>
      </c>
      <c r="N74" s="84"/>
      <c r="O74" s="23">
        <f>SUM('13-2014 Ret Emp'!I16)</f>
        <v>25320.834189734669</v>
      </c>
      <c r="P74" s="23">
        <f>SUM('AC-SCH'!D82)</f>
        <v>22497.233219999998</v>
      </c>
      <c r="Q74" s="23">
        <f>SUM('AC-SCH'!D82)</f>
        <v>22497.233219999998</v>
      </c>
      <c r="R74" s="23">
        <f>SUM('AC-SCH'!D82)</f>
        <v>22497.233219999998</v>
      </c>
      <c r="S74" s="23">
        <f>SUM('AC-SCH'!D82)</f>
        <v>22497.233219999998</v>
      </c>
      <c r="T74" s="23">
        <f>SUM('13-2014 Ret Emp'!I15)</f>
        <v>27668.759181646197</v>
      </c>
      <c r="U74" s="23">
        <f>SUM('13-2014 Ret Emp'!I6)</f>
        <v>24583.33416479094</v>
      </c>
      <c r="V74" s="23">
        <f>SUM('AC-SCH'!D81)</f>
        <v>21841.973999999998</v>
      </c>
      <c r="W74" s="23"/>
      <c r="X74" s="23">
        <f>+'AC-SCH'!D81</f>
        <v>21841.973999999998</v>
      </c>
      <c r="Y74" s="23">
        <f>+'AC-SCH'!D81</f>
        <v>21841.973999999998</v>
      </c>
      <c r="Z74" s="23">
        <f>+'AC-SCH'!D81</f>
        <v>21841.973999999998</v>
      </c>
      <c r="AA74" s="23">
        <f>+'AC-SCH'!D81</f>
        <v>21841.973999999998</v>
      </c>
      <c r="AB74" s="23"/>
      <c r="AC74" s="23">
        <f>SUM('13-2014 Ret Emp'!I20)/2</f>
        <v>14214.825029570735</v>
      </c>
      <c r="AD74" s="23">
        <f>SUM('13-2014 Ret Emp'!I20)/2</f>
        <v>14214.825029570735</v>
      </c>
      <c r="AE74" s="23">
        <f>+'AC-SCH'!D81/2</f>
        <v>10920.986999999999</v>
      </c>
      <c r="AF74" s="23">
        <f>+'AC-SCH'!D81/2</f>
        <v>10920.986999999999</v>
      </c>
      <c r="AG74" s="23"/>
      <c r="AH74" s="23">
        <f>SUM('13-2014 Ret Emp'!I21)/2</f>
        <v>11248.616609999999</v>
      </c>
      <c r="AI74" s="23">
        <f>SUM('13-2014 Ret Emp'!I21)/2</f>
        <v>11248.616609999999</v>
      </c>
      <c r="AJ74" s="23"/>
      <c r="AK74" s="23"/>
      <c r="AL74" s="23"/>
      <c r="AM74" s="84"/>
      <c r="AN74" s="23"/>
      <c r="AO74" s="23"/>
      <c r="AP74" s="23"/>
      <c r="AQ74" s="23"/>
      <c r="AR74" s="23"/>
      <c r="AS74" s="23"/>
      <c r="AT74" s="84"/>
      <c r="AU74" s="23"/>
      <c r="AV74" s="23"/>
      <c r="AW74" s="23"/>
      <c r="AX74" s="23"/>
      <c r="AY74" s="23"/>
      <c r="AZ74" s="23"/>
      <c r="BA74" s="23"/>
      <c r="BB74" s="23"/>
      <c r="BC74" s="84"/>
      <c r="BD74" s="61">
        <f>SUM('AC-SVC'!C74)*BD$7</f>
        <v>0</v>
      </c>
      <c r="BE74" s="61">
        <f>SUM('AC-SVC'!D74)</f>
        <v>0</v>
      </c>
      <c r="BF74" s="61">
        <f>SUM('AC-SVC'!G74)</f>
        <v>0</v>
      </c>
      <c r="BG74" s="61">
        <f>SUM('AC-SVC'!J74)</f>
        <v>0</v>
      </c>
      <c r="BH74" s="61">
        <f>SUM('AC-SVC'!M74)</f>
        <v>0</v>
      </c>
      <c r="BI74" s="61">
        <f>SUM('AC-SVC'!P74)*BI$7</f>
        <v>0</v>
      </c>
      <c r="BJ74" s="61">
        <f>SUM(PT!C74)</f>
        <v>0</v>
      </c>
      <c r="BK74" s="61">
        <f>SUM(CCLC!C74)</f>
        <v>0</v>
      </c>
      <c r="BL74" s="61">
        <f>SUM(FC!D74)</f>
        <v>0</v>
      </c>
      <c r="BM74" s="61">
        <f>SUM(FN!F74)*BM$7</f>
        <v>0</v>
      </c>
      <c r="BN74" s="61">
        <f>SUM(FS!D74)</f>
        <v>0</v>
      </c>
      <c r="BO74" s="61">
        <f>SUM(IT!D74)</f>
        <v>0</v>
      </c>
      <c r="BP74" s="84"/>
      <c r="BQ74" s="62">
        <f t="shared" si="158"/>
        <v>456515.94149692554</v>
      </c>
      <c r="BS74" s="95">
        <f>SUM(Sheet1!C74)</f>
        <v>391381.35</v>
      </c>
      <c r="BT74" s="288">
        <f>SUM(Sheet1!I74)</f>
        <v>413184.65207547171</v>
      </c>
    </row>
    <row r="75" spans="1:72" ht="12">
      <c r="A75" s="31" t="s">
        <v>14</v>
      </c>
      <c r="B75" s="31" t="s">
        <v>314</v>
      </c>
      <c r="C75" s="23"/>
      <c r="D75" s="23">
        <f t="shared" si="155"/>
        <v>0</v>
      </c>
      <c r="E75" s="157">
        <f t="shared" si="156"/>
        <v>0</v>
      </c>
      <c r="F75" s="23">
        <f t="shared" si="157"/>
        <v>0</v>
      </c>
      <c r="G75" s="23"/>
      <c r="H75" s="23"/>
      <c r="I75" s="167"/>
      <c r="J75" s="23"/>
      <c r="K75" s="23"/>
      <c r="L75" s="23"/>
      <c r="M75" s="23"/>
      <c r="N75" s="84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84"/>
      <c r="AN75" s="23"/>
      <c r="AO75" s="23"/>
      <c r="AP75" s="23"/>
      <c r="AQ75" s="23"/>
      <c r="AR75" s="23"/>
      <c r="AS75" s="23"/>
      <c r="AT75" s="84"/>
      <c r="AU75" s="23"/>
      <c r="AV75" s="23"/>
      <c r="AW75" s="23"/>
      <c r="AX75" s="23"/>
      <c r="AY75" s="23"/>
      <c r="AZ75" s="23"/>
      <c r="BA75" s="23"/>
      <c r="BB75" s="23"/>
      <c r="BC75" s="84"/>
      <c r="BD75" s="61">
        <f>SUM('AC-SVC'!C75)*BD$7</f>
        <v>0</v>
      </c>
      <c r="BE75" s="61">
        <f>SUM('AC-SVC'!D75)</f>
        <v>55679</v>
      </c>
      <c r="BF75" s="61">
        <f>SUM('AC-SVC'!G75)</f>
        <v>21635.520439500004</v>
      </c>
      <c r="BG75" s="61">
        <f>SUM('AC-SVC'!J75)</f>
        <v>0</v>
      </c>
      <c r="BH75" s="61">
        <f>SUM('AC-SVC'!M75)</f>
        <v>0</v>
      </c>
      <c r="BI75" s="61">
        <f>SUM('AC-SVC'!P75)*BI$7</f>
        <v>0</v>
      </c>
      <c r="BJ75" s="61">
        <f>SUM(PT!C75)</f>
        <v>0</v>
      </c>
      <c r="BK75" s="61">
        <f>SUM(CCLC!C75)</f>
        <v>0</v>
      </c>
      <c r="BL75" s="61">
        <f>SUM(FC!D75)</f>
        <v>0</v>
      </c>
      <c r="BM75" s="61">
        <f>SUM(FN!F75)*BM$7</f>
        <v>0</v>
      </c>
      <c r="BN75" s="61">
        <f>SUM(FS!D75)</f>
        <v>0</v>
      </c>
      <c r="BO75" s="61">
        <f>SUM(IT!D75)</f>
        <v>0</v>
      </c>
      <c r="BP75" s="84"/>
      <c r="BQ75" s="62">
        <f t="shared" si="158"/>
        <v>77314.520439500004</v>
      </c>
      <c r="BS75" s="95">
        <f>SUM(Sheet1!C75)</f>
        <v>87983.31</v>
      </c>
      <c r="BT75" s="288">
        <f>BQ75</f>
        <v>77314.520439500004</v>
      </c>
    </row>
    <row r="76" spans="1:72" ht="12">
      <c r="A76" s="31" t="s">
        <v>15</v>
      </c>
      <c r="B76" s="31" t="s">
        <v>315</v>
      </c>
      <c r="C76" s="23"/>
      <c r="D76" s="23">
        <f t="shared" si="155"/>
        <v>0</v>
      </c>
      <c r="E76" s="157">
        <f t="shared" si="156"/>
        <v>0</v>
      </c>
      <c r="F76" s="23">
        <f t="shared" si="157"/>
        <v>0</v>
      </c>
      <c r="G76" s="23"/>
      <c r="H76" s="23"/>
      <c r="I76" s="167"/>
      <c r="J76" s="23"/>
      <c r="K76" s="23"/>
      <c r="L76" s="23"/>
      <c r="M76" s="23"/>
      <c r="N76" s="84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84"/>
      <c r="AN76" s="23"/>
      <c r="AO76" s="23"/>
      <c r="AP76" s="23"/>
      <c r="AQ76" s="23"/>
      <c r="AR76" s="23"/>
      <c r="AS76" s="23"/>
      <c r="AT76" s="84"/>
      <c r="AU76" s="23"/>
      <c r="AV76" s="23"/>
      <c r="AW76" s="23"/>
      <c r="AX76" s="23"/>
      <c r="AY76" s="23"/>
      <c r="AZ76" s="23"/>
      <c r="BA76" s="23"/>
      <c r="BB76" s="23"/>
      <c r="BC76" s="84"/>
      <c r="BD76" s="61">
        <f>SUM('AC-SVC'!C76)*BD$7</f>
        <v>0</v>
      </c>
      <c r="BE76" s="61">
        <f>SUM('AC-SVC'!D76)</f>
        <v>0</v>
      </c>
      <c r="BF76" s="61">
        <f>SUM('AC-SVC'!G76)</f>
        <v>0</v>
      </c>
      <c r="BG76" s="61">
        <f>SUM('AC-SVC'!J76)</f>
        <v>52453</v>
      </c>
      <c r="BH76" s="61">
        <f>SUM('AC-SVC'!M76)</f>
        <v>0</v>
      </c>
      <c r="BI76" s="61">
        <f>SUM('AC-SVC'!P76)*BI$7</f>
        <v>0</v>
      </c>
      <c r="BJ76" s="61">
        <f>SUM(PT!C76)</f>
        <v>0</v>
      </c>
      <c r="BK76" s="61">
        <f>SUM(CCLC!C76)</f>
        <v>0</v>
      </c>
      <c r="BL76" s="61">
        <f>SUM(FC!D76)</f>
        <v>0</v>
      </c>
      <c r="BM76" s="61">
        <f>SUM(FN!F76)*BM$7</f>
        <v>0</v>
      </c>
      <c r="BN76" s="61">
        <f>SUM(FS!D76)</f>
        <v>0</v>
      </c>
      <c r="BO76" s="61">
        <f>SUM(IT!D76)</f>
        <v>0</v>
      </c>
      <c r="BP76" s="84"/>
      <c r="BQ76" s="62">
        <f t="shared" si="158"/>
        <v>52453</v>
      </c>
      <c r="BS76" s="95">
        <f>SUM(Sheet1!C76)</f>
        <v>45535.25</v>
      </c>
      <c r="BT76" s="288">
        <f>BQ76</f>
        <v>52453</v>
      </c>
    </row>
    <row r="77" spans="1:72" ht="12">
      <c r="A77" s="31" t="s">
        <v>16</v>
      </c>
      <c r="B77" s="31" t="s">
        <v>316</v>
      </c>
      <c r="C77" s="23"/>
      <c r="D77" s="23">
        <f t="shared" si="155"/>
        <v>0</v>
      </c>
      <c r="E77" s="157">
        <f t="shared" si="156"/>
        <v>0</v>
      </c>
      <c r="F77" s="23">
        <f t="shared" si="157"/>
        <v>0</v>
      </c>
      <c r="G77" s="23">
        <f>+'13-2014 Ret Emp'!I61*2080+0.5*'13-2014 Ret Emp'!I54+'13-2014 Ret Emp'!I60*2080</f>
        <v>80512.165197104012</v>
      </c>
      <c r="H77" s="23"/>
      <c r="I77" s="167"/>
      <c r="J77" s="23"/>
      <c r="K77" s="23"/>
      <c r="L77" s="23"/>
      <c r="M77" s="23"/>
      <c r="N77" s="84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84"/>
      <c r="AN77" s="23"/>
      <c r="AO77" s="23"/>
      <c r="AP77" s="23"/>
      <c r="AQ77" s="23"/>
      <c r="AR77" s="23"/>
      <c r="AS77" s="23"/>
      <c r="AT77" s="84"/>
      <c r="AU77" s="23"/>
      <c r="AV77" s="23"/>
      <c r="AW77" s="23"/>
      <c r="AX77" s="23"/>
      <c r="AY77" s="23"/>
      <c r="AZ77" s="23"/>
      <c r="BA77" s="23"/>
      <c r="BB77" s="23"/>
      <c r="BC77" s="84"/>
      <c r="BD77" s="61">
        <f>SUM('AC-SVC'!C77)*BD$7</f>
        <v>0</v>
      </c>
      <c r="BE77" s="61">
        <f>SUM('AC-SVC'!D77)</f>
        <v>0</v>
      </c>
      <c r="BF77" s="61">
        <f>SUM('AC-SVC'!G77)</f>
        <v>0</v>
      </c>
      <c r="BG77" s="61">
        <f>SUM('AC-SVC'!J77)</f>
        <v>0</v>
      </c>
      <c r="BH77" s="61">
        <f>SUM('AC-SVC'!M77)</f>
        <v>0</v>
      </c>
      <c r="BI77" s="61">
        <f>SUM('AC-SVC'!P77)*BI$7</f>
        <v>0</v>
      </c>
      <c r="BJ77" s="61">
        <f>SUM(PT!C77)</f>
        <v>0</v>
      </c>
      <c r="BK77" s="61">
        <f>SUM(CCLC!C77)</f>
        <v>0</v>
      </c>
      <c r="BL77" s="61">
        <f>SUM(FC!D77)</f>
        <v>0</v>
      </c>
      <c r="BM77" s="61">
        <f>SUM(FN!F77)*BM$7</f>
        <v>0</v>
      </c>
      <c r="BN77" s="61">
        <f>SUM(FS!D77)</f>
        <v>0</v>
      </c>
      <c r="BO77" s="61">
        <f>SUM(IT!D77)</f>
        <v>0</v>
      </c>
      <c r="BP77" s="84"/>
      <c r="BQ77" s="62">
        <f t="shared" si="158"/>
        <v>80512.165197104012</v>
      </c>
      <c r="BS77" s="95">
        <f>SUM(Sheet1!C77)</f>
        <v>80964.92</v>
      </c>
      <c r="BT77" s="288">
        <f t="shared" ref="BT77:BT78" si="159">BQ77</f>
        <v>80512.165197104012</v>
      </c>
    </row>
    <row r="78" spans="1:72" ht="12">
      <c r="A78" s="31" t="s">
        <v>17</v>
      </c>
      <c r="B78" s="31" t="s">
        <v>317</v>
      </c>
      <c r="C78" s="23"/>
      <c r="D78" s="23">
        <f t="shared" si="155"/>
        <v>0</v>
      </c>
      <c r="E78" s="157">
        <f t="shared" si="156"/>
        <v>0</v>
      </c>
      <c r="F78" s="23">
        <f t="shared" si="157"/>
        <v>0</v>
      </c>
      <c r="G78" s="23"/>
      <c r="H78" s="23"/>
      <c r="I78" s="167"/>
      <c r="J78" s="23"/>
      <c r="K78" s="23"/>
      <c r="L78" s="23"/>
      <c r="M78" s="23"/>
      <c r="N78" s="84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84"/>
      <c r="AN78" s="23"/>
      <c r="AO78" s="23"/>
      <c r="AP78" s="23"/>
      <c r="AQ78" s="23"/>
      <c r="AR78" s="23"/>
      <c r="AS78" s="23"/>
      <c r="AT78" s="84"/>
      <c r="AU78" s="23"/>
      <c r="AV78" s="23"/>
      <c r="AW78" s="23"/>
      <c r="AX78" s="23"/>
      <c r="AY78" s="23"/>
      <c r="AZ78" s="23"/>
      <c r="BA78" s="23"/>
      <c r="BB78" s="23"/>
      <c r="BC78" s="84"/>
      <c r="BD78" s="61">
        <f>SUM('AC-SVC'!C78)*BD$7</f>
        <v>0</v>
      </c>
      <c r="BE78" s="61">
        <f>SUM('AC-SVC'!D78)</f>
        <v>0</v>
      </c>
      <c r="BF78" s="61">
        <f>SUM('AC-SVC'!G78)</f>
        <v>0</v>
      </c>
      <c r="BG78" s="61">
        <f>SUM('AC-SVC'!J78)</f>
        <v>0</v>
      </c>
      <c r="BH78" s="61">
        <f>SUM('AC-SVC'!M78)</f>
        <v>0</v>
      </c>
      <c r="BI78" s="61">
        <f>SUM('AC-SVC'!P78)*BI$7</f>
        <v>0</v>
      </c>
      <c r="BJ78" s="61">
        <f>SUM(PT!C78)</f>
        <v>0</v>
      </c>
      <c r="BK78" s="61">
        <f>SUM(CCLC!C78)</f>
        <v>0</v>
      </c>
      <c r="BL78" s="61">
        <f>SUM(FC!D78)</f>
        <v>80016</v>
      </c>
      <c r="BM78" s="61">
        <f>SUM(FN!F78)*BM$7</f>
        <v>0</v>
      </c>
      <c r="BN78" s="61">
        <f>SUM(FS!D78)</f>
        <v>96004.350130250008</v>
      </c>
      <c r="BO78" s="61">
        <f>SUM(IT!D78)</f>
        <v>0</v>
      </c>
      <c r="BP78" s="84"/>
      <c r="BQ78" s="62">
        <f t="shared" si="158"/>
        <v>176020.35013025001</v>
      </c>
      <c r="BS78" s="95">
        <f>SUM(Sheet1!C78)</f>
        <v>156160.79</v>
      </c>
      <c r="BT78" s="288">
        <f t="shared" si="159"/>
        <v>176020.35013025001</v>
      </c>
    </row>
    <row r="79" spans="1:72" ht="14.25" customHeight="1">
      <c r="A79" s="31" t="s">
        <v>18</v>
      </c>
      <c r="B79" s="31" t="s">
        <v>319</v>
      </c>
      <c r="C79" s="169"/>
      <c r="D79" s="169">
        <f t="shared" si="155"/>
        <v>0</v>
      </c>
      <c r="E79" s="169">
        <f t="shared" si="156"/>
        <v>0</v>
      </c>
      <c r="F79" s="169">
        <f t="shared" si="157"/>
        <v>0</v>
      </c>
      <c r="G79" s="169"/>
      <c r="H79" s="169"/>
      <c r="I79" s="167"/>
      <c r="J79" s="169"/>
      <c r="K79" s="169"/>
      <c r="L79" s="169"/>
      <c r="M79" s="169"/>
      <c r="N79" s="173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73"/>
      <c r="AN79" s="169"/>
      <c r="AO79" s="169"/>
      <c r="AP79" s="169"/>
      <c r="AQ79" s="169"/>
      <c r="AR79" s="169"/>
      <c r="AS79" s="169"/>
      <c r="AT79" s="173"/>
      <c r="AU79" s="169"/>
      <c r="AV79" s="169"/>
      <c r="AW79" s="169"/>
      <c r="AX79" s="169"/>
      <c r="AY79" s="169"/>
      <c r="AZ79" s="169"/>
      <c r="BA79" s="169"/>
      <c r="BB79" s="169"/>
      <c r="BC79" s="84"/>
      <c r="BD79" s="20">
        <f>SUM('AC-SVC'!C79)*BD$7</f>
        <v>0</v>
      </c>
      <c r="BE79" s="20">
        <f>SUM('AC-SVC'!D79)</f>
        <v>0</v>
      </c>
      <c r="BF79" s="20">
        <f>SUM('AC-SVC'!G79)</f>
        <v>0</v>
      </c>
      <c r="BG79" s="20">
        <f>SUM('AC-SVC'!J79)</f>
        <v>0</v>
      </c>
      <c r="BH79" s="20">
        <f>SUM('AC-SVC'!M79)</f>
        <v>0</v>
      </c>
      <c r="BI79" s="20">
        <f>SUM('AC-SVC'!P79)*BI$7</f>
        <v>0</v>
      </c>
      <c r="BJ79" s="20">
        <f>SUM(PT!C79)</f>
        <v>0</v>
      </c>
      <c r="BK79" s="20">
        <f>SUM(CCLC!C79)</f>
        <v>0</v>
      </c>
      <c r="BL79" s="20">
        <f>SUM(FC!D79)</f>
        <v>60237</v>
      </c>
      <c r="BM79" s="20">
        <f>SUM(FN!F79)*BM$7</f>
        <v>0</v>
      </c>
      <c r="BN79" s="20">
        <f>SUM(FS!D79)</f>
        <v>0</v>
      </c>
      <c r="BO79" s="20">
        <f>SUM(IT!D79)</f>
        <v>0</v>
      </c>
      <c r="BP79" s="84"/>
      <c r="BQ79" s="63">
        <f t="shared" si="158"/>
        <v>60237</v>
      </c>
      <c r="BS79" s="96">
        <f>SUM(Sheet1!C79)</f>
        <v>98150.34</v>
      </c>
      <c r="BT79" s="288">
        <f>BQ79</f>
        <v>60237</v>
      </c>
    </row>
    <row r="80" spans="1:72" s="30" customFormat="1" ht="10">
      <c r="A80" s="31"/>
      <c r="B80" s="31" t="s">
        <v>24</v>
      </c>
      <c r="C80" s="49">
        <f t="shared" ref="C80:BB80" si="160">SUM(C72:C79)</f>
        <v>0</v>
      </c>
      <c r="D80" s="49">
        <f t="shared" si="160"/>
        <v>288517.04372782516</v>
      </c>
      <c r="E80" s="49">
        <f t="shared" si="160"/>
        <v>1898529.1023606253</v>
      </c>
      <c r="F80" s="49">
        <f t="shared" si="160"/>
        <v>536745.66869810829</v>
      </c>
      <c r="G80" s="49">
        <f t="shared" si="160"/>
        <v>168200.70825199739</v>
      </c>
      <c r="H80" s="49">
        <f t="shared" si="160"/>
        <v>116216</v>
      </c>
      <c r="I80" s="170"/>
      <c r="J80" s="49">
        <f t="shared" si="160"/>
        <v>87622.472852331513</v>
      </c>
      <c r="K80" s="49">
        <f t="shared" si="160"/>
        <v>71543.443680806129</v>
      </c>
      <c r="L80" s="49">
        <f t="shared" si="160"/>
        <v>64454.233219999995</v>
      </c>
      <c r="M80" s="49">
        <f t="shared" si="160"/>
        <v>64896.893974687482</v>
      </c>
      <c r="N80" s="171"/>
      <c r="O80" s="49">
        <f t="shared" si="160"/>
        <v>69780.48646328933</v>
      </c>
      <c r="P80" s="49">
        <f t="shared" si="160"/>
        <v>75448.599474872477</v>
      </c>
      <c r="Q80" s="49">
        <f t="shared" si="160"/>
        <v>67043.376800393526</v>
      </c>
      <c r="R80" s="49">
        <f t="shared" si="160"/>
        <v>56908.233219999995</v>
      </c>
      <c r="S80" s="49">
        <f t="shared" si="160"/>
        <v>64896.893974687482</v>
      </c>
      <c r="T80" s="49">
        <f t="shared" si="160"/>
        <v>73328.55635154956</v>
      </c>
      <c r="U80" s="49">
        <f t="shared" si="160"/>
        <v>70243.131334694306</v>
      </c>
      <c r="V80" s="49">
        <f t="shared" si="160"/>
        <v>62395.442999999999</v>
      </c>
      <c r="W80" s="49">
        <f t="shared" si="160"/>
        <v>47971.324401629718</v>
      </c>
      <c r="X80" s="49">
        <f t="shared" si="160"/>
        <v>65301.626273554662</v>
      </c>
      <c r="Y80" s="49">
        <f t="shared" si="160"/>
        <v>70813.298401629712</v>
      </c>
      <c r="Z80" s="49">
        <f t="shared" si="160"/>
        <v>62395.442999999999</v>
      </c>
      <c r="AA80" s="49">
        <f t="shared" si="160"/>
        <v>66388.117580393533</v>
      </c>
      <c r="AB80" s="49">
        <f t="shared" si="160"/>
        <v>44546.143580393531</v>
      </c>
      <c r="AC80" s="49">
        <f t="shared" si="160"/>
        <v>57674.477303125401</v>
      </c>
      <c r="AD80" s="49">
        <f t="shared" si="160"/>
        <v>59874.622199474099</v>
      </c>
      <c r="AE80" s="49">
        <f t="shared" si="160"/>
        <v>52877.987000000001</v>
      </c>
      <c r="AF80" s="49">
        <f t="shared" si="160"/>
        <v>56580.784169903367</v>
      </c>
      <c r="AG80" s="49">
        <f t="shared" si="160"/>
        <v>48301.292099150945</v>
      </c>
      <c r="AH80" s="49">
        <f t="shared" si="160"/>
        <v>61419.224121670457</v>
      </c>
      <c r="AI80" s="49">
        <f t="shared" si="160"/>
        <v>56908.413779903363</v>
      </c>
      <c r="AJ80" s="49">
        <f t="shared" si="160"/>
        <v>45659.797169903366</v>
      </c>
      <c r="AK80" s="49">
        <f t="shared" si="160"/>
        <v>43832</v>
      </c>
      <c r="AL80" s="49">
        <f t="shared" si="160"/>
        <v>42399.660754687487</v>
      </c>
      <c r="AM80" s="171"/>
      <c r="AN80" s="49">
        <f t="shared" si="160"/>
        <v>104436.03792459086</v>
      </c>
      <c r="AO80" s="49">
        <f t="shared" si="160"/>
        <v>124735</v>
      </c>
      <c r="AP80" s="49">
        <f t="shared" si="160"/>
        <v>76429.494222120673</v>
      </c>
      <c r="AQ80" s="49">
        <f t="shared" si="160"/>
        <v>43459.652273554668</v>
      </c>
      <c r="AR80" s="49">
        <f t="shared" si="160"/>
        <v>92068.696760453153</v>
      </c>
      <c r="AS80" s="49">
        <f t="shared" si="160"/>
        <v>34411.288724999991</v>
      </c>
      <c r="AT80" s="171"/>
      <c r="AU80" s="49">
        <f t="shared" si="160"/>
        <v>84013.121273554672</v>
      </c>
      <c r="AV80" s="49">
        <f t="shared" si="160"/>
        <v>65099</v>
      </c>
      <c r="AW80" s="49">
        <f t="shared" si="160"/>
        <v>44546.143580393531</v>
      </c>
      <c r="AX80" s="49">
        <f t="shared" si="160"/>
        <v>65189.478410331998</v>
      </c>
      <c r="AY80" s="49">
        <f t="shared" si="160"/>
        <v>42926</v>
      </c>
      <c r="AZ80" s="49">
        <f t="shared" si="160"/>
        <v>86919.304547109336</v>
      </c>
      <c r="BA80" s="49">
        <f t="shared" si="160"/>
        <v>65099.491132031231</v>
      </c>
      <c r="BB80" s="49">
        <f t="shared" si="160"/>
        <v>82953.129754687485</v>
      </c>
      <c r="BC80" s="171"/>
      <c r="BD80" s="49">
        <f t="shared" ref="BD80:BI80" si="161">SUM(BD72:BD79)</f>
        <v>0</v>
      </c>
      <c r="BE80" s="49">
        <f t="shared" si="161"/>
        <v>55679</v>
      </c>
      <c r="BF80" s="49">
        <f t="shared" si="161"/>
        <v>21635.520439500004</v>
      </c>
      <c r="BG80" s="49">
        <f t="shared" si="161"/>
        <v>52453</v>
      </c>
      <c r="BH80" s="49">
        <f t="shared" si="161"/>
        <v>37593.065763000006</v>
      </c>
      <c r="BI80" s="49">
        <f t="shared" si="161"/>
        <v>0</v>
      </c>
      <c r="BJ80" s="41">
        <f>+SUM(BJ72:BJ79)</f>
        <v>28533.06</v>
      </c>
      <c r="BK80" s="41">
        <f>+SUM(BK72:BK79)</f>
        <v>0</v>
      </c>
      <c r="BL80" s="41">
        <f>+SUM(BL72:BL79)</f>
        <v>140253</v>
      </c>
      <c r="BM80" s="41">
        <f t="shared" ref="BM80" si="162">+SUM(BM72:BM79)</f>
        <v>0</v>
      </c>
      <c r="BN80" s="41">
        <f>+SUM(BN72:BN79)</f>
        <v>96004.350130250008</v>
      </c>
      <c r="BO80" s="41">
        <f t="shared" ref="BO80" si="163">+SUM(BO72:BO79)</f>
        <v>0</v>
      </c>
      <c r="BP80" s="171"/>
      <c r="BQ80" s="49">
        <f>SUM(BQ72:BQ79)</f>
        <v>3440359.519371307</v>
      </c>
      <c r="BS80" s="94">
        <f>SUM(BS72:BS79)</f>
        <v>3392096.6799999997</v>
      </c>
      <c r="BT80" s="293">
        <f>SUM(BT72:BT79)</f>
        <v>3492124.2302911864</v>
      </c>
    </row>
    <row r="81" spans="1:72">
      <c r="C81" s="23"/>
      <c r="D81" s="23"/>
      <c r="E81" s="23"/>
      <c r="F81" s="23"/>
      <c r="G81" s="23"/>
      <c r="H81" s="23"/>
      <c r="I81" s="167"/>
      <c r="J81" s="23"/>
      <c r="K81" s="23"/>
      <c r="L81" s="23"/>
      <c r="M81" s="23"/>
      <c r="N81" s="84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84"/>
      <c r="AN81" s="23"/>
      <c r="AO81" s="23"/>
      <c r="AP81" s="23"/>
      <c r="AQ81" s="23"/>
      <c r="AR81" s="23"/>
      <c r="AS81" s="23"/>
      <c r="AT81" s="84"/>
      <c r="AU81" s="23"/>
      <c r="AV81" s="23"/>
      <c r="AW81" s="23"/>
      <c r="AX81" s="23"/>
      <c r="AY81" s="23"/>
      <c r="AZ81" s="23"/>
      <c r="BA81" s="23"/>
      <c r="BB81" s="23"/>
      <c r="BC81" s="84"/>
      <c r="BD81" s="21"/>
      <c r="BE81" s="23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84"/>
      <c r="BS81" s="94"/>
    </row>
    <row r="82" spans="1:72">
      <c r="C82" s="23"/>
      <c r="D82" s="23"/>
      <c r="E82" s="23"/>
      <c r="F82" s="23"/>
      <c r="G82" s="23"/>
      <c r="H82" s="23"/>
      <c r="I82" s="167"/>
      <c r="J82" s="23"/>
      <c r="K82" s="23"/>
      <c r="L82" s="23"/>
      <c r="M82" s="23"/>
      <c r="N82" s="84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84"/>
      <c r="AN82" s="23"/>
      <c r="AO82" s="23"/>
      <c r="AP82" s="23"/>
      <c r="AQ82" s="23"/>
      <c r="AR82" s="23"/>
      <c r="AS82" s="23"/>
      <c r="AT82" s="84"/>
      <c r="AU82" s="23"/>
      <c r="AV82" s="23"/>
      <c r="AW82" s="23"/>
      <c r="AX82" s="23"/>
      <c r="AY82" s="23"/>
      <c r="AZ82" s="23"/>
      <c r="BA82" s="23"/>
      <c r="BB82" s="23"/>
      <c r="BC82" s="84"/>
      <c r="BD82" s="21"/>
      <c r="BE82" s="23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84"/>
      <c r="BS82" s="94"/>
    </row>
    <row r="83" spans="1:72">
      <c r="A83" s="36" t="s">
        <v>322</v>
      </c>
      <c r="C83" s="23"/>
      <c r="D83" s="23"/>
      <c r="E83" s="23"/>
      <c r="F83" s="23"/>
      <c r="G83" s="23"/>
      <c r="H83" s="23"/>
      <c r="I83" s="167"/>
      <c r="J83" s="23"/>
      <c r="K83" s="23"/>
      <c r="L83" s="23"/>
      <c r="M83" s="23"/>
      <c r="N83" s="84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84"/>
      <c r="AN83" s="23"/>
      <c r="AO83" s="23"/>
      <c r="AP83" s="23"/>
      <c r="AQ83" s="23"/>
      <c r="AR83" s="23"/>
      <c r="AS83" s="23"/>
      <c r="AT83" s="84"/>
      <c r="AU83" s="23"/>
      <c r="AV83" s="23"/>
      <c r="AW83" s="23"/>
      <c r="AX83" s="23"/>
      <c r="AY83" s="23"/>
      <c r="AZ83" s="23"/>
      <c r="BA83" s="23"/>
      <c r="BB83" s="23"/>
      <c r="BC83" s="84"/>
      <c r="BD83" s="21"/>
      <c r="BE83" s="23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84"/>
      <c r="BS83" s="94"/>
    </row>
    <row r="84" spans="1:72" ht="12">
      <c r="A84" s="31" t="s">
        <v>20</v>
      </c>
      <c r="B84" s="31" t="s">
        <v>321</v>
      </c>
      <c r="C84" s="23"/>
      <c r="D84" s="23">
        <f>SUM(J84:M84)</f>
        <v>1120</v>
      </c>
      <c r="E84" s="157">
        <f>SUM(O84:AS84)</f>
        <v>18200</v>
      </c>
      <c r="F84" s="23">
        <f>SUM(AU84:BB84)</f>
        <v>8400</v>
      </c>
      <c r="G84" s="23"/>
      <c r="H84" s="23"/>
      <c r="I84" s="167"/>
      <c r="J84" s="23">
        <f>40*7</f>
        <v>280</v>
      </c>
      <c r="K84" s="23">
        <f t="shared" ref="K84:AK84" si="164">40*7</f>
        <v>280</v>
      </c>
      <c r="L84" s="23">
        <f t="shared" si="164"/>
        <v>280</v>
      </c>
      <c r="M84" s="23">
        <f t="shared" si="164"/>
        <v>280</v>
      </c>
      <c r="N84" s="84"/>
      <c r="O84" s="23">
        <f t="shared" si="164"/>
        <v>280</v>
      </c>
      <c r="P84" s="23">
        <f t="shared" si="164"/>
        <v>280</v>
      </c>
      <c r="Q84" s="23">
        <f t="shared" si="164"/>
        <v>280</v>
      </c>
      <c r="R84" s="23">
        <f t="shared" si="164"/>
        <v>280</v>
      </c>
      <c r="S84" s="23">
        <f t="shared" si="164"/>
        <v>280</v>
      </c>
      <c r="T84" s="23">
        <f t="shared" si="164"/>
        <v>280</v>
      </c>
      <c r="U84" s="23">
        <f t="shared" si="164"/>
        <v>280</v>
      </c>
      <c r="V84" s="23">
        <f t="shared" si="164"/>
        <v>280</v>
      </c>
      <c r="W84" s="23">
        <f>150*7</f>
        <v>1050</v>
      </c>
      <c r="X84" s="23">
        <f t="shared" si="164"/>
        <v>280</v>
      </c>
      <c r="Y84" s="23">
        <f t="shared" si="164"/>
        <v>280</v>
      </c>
      <c r="Z84" s="23">
        <f t="shared" si="164"/>
        <v>280</v>
      </c>
      <c r="AA84" s="23">
        <f t="shared" si="164"/>
        <v>280</v>
      </c>
      <c r="AB84" s="23">
        <f>150*7</f>
        <v>1050</v>
      </c>
      <c r="AC84" s="23">
        <f t="shared" si="164"/>
        <v>280</v>
      </c>
      <c r="AD84" s="23">
        <f t="shared" si="164"/>
        <v>280</v>
      </c>
      <c r="AE84" s="23">
        <f t="shared" si="164"/>
        <v>280</v>
      </c>
      <c r="AF84" s="23">
        <f t="shared" si="164"/>
        <v>280</v>
      </c>
      <c r="AG84" s="23">
        <f t="shared" ref="AG84:AL84" si="165">150*7</f>
        <v>1050</v>
      </c>
      <c r="AH84" s="23">
        <f t="shared" si="164"/>
        <v>280</v>
      </c>
      <c r="AI84" s="23">
        <f t="shared" si="164"/>
        <v>280</v>
      </c>
      <c r="AJ84" s="23">
        <f t="shared" si="164"/>
        <v>280</v>
      </c>
      <c r="AK84" s="23">
        <f t="shared" si="164"/>
        <v>280</v>
      </c>
      <c r="AL84" s="23">
        <f t="shared" si="165"/>
        <v>1050</v>
      </c>
      <c r="AM84" s="84"/>
      <c r="AN84" s="23">
        <f>150*7*2</f>
        <v>2100</v>
      </c>
      <c r="AO84" s="23">
        <f>150*7*2</f>
        <v>2100</v>
      </c>
      <c r="AP84" s="23">
        <f t="shared" ref="AP84:BB84" si="166">150*7</f>
        <v>1050</v>
      </c>
      <c r="AQ84" s="23">
        <f t="shared" si="166"/>
        <v>1050</v>
      </c>
      <c r="AR84" s="23">
        <f t="shared" si="166"/>
        <v>1050</v>
      </c>
      <c r="AS84" s="23">
        <f t="shared" si="166"/>
        <v>1050</v>
      </c>
      <c r="AT84" s="84"/>
      <c r="AU84" s="23">
        <f t="shared" si="166"/>
        <v>1050</v>
      </c>
      <c r="AV84" s="23">
        <f t="shared" si="166"/>
        <v>1050</v>
      </c>
      <c r="AW84" s="23">
        <f t="shared" si="166"/>
        <v>1050</v>
      </c>
      <c r="AX84" s="23">
        <f t="shared" si="166"/>
        <v>1050</v>
      </c>
      <c r="AY84" s="23">
        <f t="shared" si="166"/>
        <v>1050</v>
      </c>
      <c r="AZ84" s="23">
        <f t="shared" si="166"/>
        <v>1050</v>
      </c>
      <c r="BA84" s="23">
        <f t="shared" si="166"/>
        <v>1050</v>
      </c>
      <c r="BB84" s="23">
        <f t="shared" si="166"/>
        <v>1050</v>
      </c>
      <c r="BC84" s="84"/>
      <c r="BD84" s="61">
        <f>SUM('AC-SVC'!C84)*BD$7</f>
        <v>0</v>
      </c>
      <c r="BE84" s="61">
        <f>SUM('AC-SVC'!D84)</f>
        <v>0</v>
      </c>
      <c r="BF84" s="61">
        <f>SUM('AC-SVC'!G84)</f>
        <v>0</v>
      </c>
      <c r="BG84" s="61">
        <f>SUM('AC-SVC'!J84)</f>
        <v>0</v>
      </c>
      <c r="BH84" s="61">
        <f>SUM('AC-SVC'!M84)</f>
        <v>0</v>
      </c>
      <c r="BI84" s="61">
        <f>SUM('AC-SVC'!P84)*BI$7</f>
        <v>0</v>
      </c>
      <c r="BJ84" s="61">
        <f>SUM(PT!C84)</f>
        <v>0</v>
      </c>
      <c r="BK84" s="61">
        <f>SUM(CCLC!C84)</f>
        <v>0</v>
      </c>
      <c r="BL84" s="61">
        <f>SUM(FC!D84)</f>
        <v>0</v>
      </c>
      <c r="BM84" s="61">
        <f>SUM(FN!F84)*BM$7</f>
        <v>0</v>
      </c>
      <c r="BN84" s="61">
        <f>SUM(FS!D84)</f>
        <v>2800</v>
      </c>
      <c r="BO84" s="61">
        <f>SUM(IT!D84)</f>
        <v>0</v>
      </c>
      <c r="BP84" s="84"/>
      <c r="BQ84" s="62">
        <f>SUM(C84:H84)+SUM(BD84:BO84)</f>
        <v>30520</v>
      </c>
      <c r="BS84" s="95">
        <f>SUM(Sheet1!C84)</f>
        <v>4469.7299999999996</v>
      </c>
      <c r="BT84" s="288">
        <f>BQ84</f>
        <v>30520</v>
      </c>
    </row>
    <row r="85" spans="1:72" ht="12">
      <c r="A85" s="31" t="s">
        <v>21</v>
      </c>
      <c r="B85" s="31" t="s">
        <v>322</v>
      </c>
      <c r="C85" s="23"/>
      <c r="D85" s="23">
        <f>SUM(J85:M85)</f>
        <v>0</v>
      </c>
      <c r="E85" s="157">
        <f>SUM(O85:AS85)</f>
        <v>0</v>
      </c>
      <c r="F85" s="23">
        <f>SUM(AU85:BB85)</f>
        <v>0</v>
      </c>
      <c r="G85" s="23"/>
      <c r="H85" s="23"/>
      <c r="I85" s="167"/>
      <c r="J85" s="23"/>
      <c r="K85" s="23"/>
      <c r="L85" s="23"/>
      <c r="M85" s="23"/>
      <c r="N85" s="84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84"/>
      <c r="AN85" s="23"/>
      <c r="AO85" s="23"/>
      <c r="AP85" s="23"/>
      <c r="AQ85" s="23"/>
      <c r="AR85" s="23"/>
      <c r="AS85" s="23"/>
      <c r="AT85" s="84"/>
      <c r="AU85" s="23"/>
      <c r="AV85" s="23"/>
      <c r="AW85" s="23"/>
      <c r="AX85" s="23"/>
      <c r="AY85" s="23"/>
      <c r="AZ85" s="23"/>
      <c r="BA85" s="23"/>
      <c r="BB85" s="23"/>
      <c r="BC85" s="84"/>
      <c r="BD85" s="61">
        <f>SUM('AC-SVC'!C85)*BD$7</f>
        <v>0</v>
      </c>
      <c r="BE85" s="61">
        <f>SUM('AC-SVC'!D85)</f>
        <v>0</v>
      </c>
      <c r="BF85" s="61">
        <f>SUM('AC-SVC'!G85)</f>
        <v>0</v>
      </c>
      <c r="BG85" s="61">
        <f>SUM('AC-SVC'!J85)</f>
        <v>0</v>
      </c>
      <c r="BH85" s="61">
        <f>SUM('AC-SVC'!M85)</f>
        <v>0</v>
      </c>
      <c r="BI85" s="61">
        <f>SUM('AC-SVC'!P85)*BI$7</f>
        <v>0</v>
      </c>
      <c r="BJ85" s="61">
        <f>SUM(PT!C85)</f>
        <v>0</v>
      </c>
      <c r="BK85" s="61">
        <f>SUM(CCLC!C85)</f>
        <v>0</v>
      </c>
      <c r="BL85" s="61">
        <f>SUM(FC!D85)</f>
        <v>12000</v>
      </c>
      <c r="BM85" s="61">
        <f>SUM(FN!F85)*BM$7</f>
        <v>0</v>
      </c>
      <c r="BN85" s="61">
        <f>SUM(FS!D85)</f>
        <v>1500</v>
      </c>
      <c r="BO85" s="61">
        <f>SUM(IT!D85)</f>
        <v>0</v>
      </c>
      <c r="BP85" s="84"/>
      <c r="BQ85" s="62">
        <f>SUM(C85:H85)+SUM(BD85:BO85)</f>
        <v>13500</v>
      </c>
      <c r="BS85" s="95">
        <f>SUM(Sheet1!C85)</f>
        <v>462</v>
      </c>
      <c r="BT85" s="288">
        <f t="shared" ref="BT85:BT87" si="167">BQ85</f>
        <v>13500</v>
      </c>
    </row>
    <row r="86" spans="1:72" ht="12">
      <c r="A86" s="31" t="s">
        <v>406</v>
      </c>
      <c r="B86" s="31" t="s">
        <v>407</v>
      </c>
      <c r="C86" s="23"/>
      <c r="D86" s="23"/>
      <c r="E86" s="157">
        <f>SUM(O86:AS86)</f>
        <v>0</v>
      </c>
      <c r="F86" s="23"/>
      <c r="G86" s="23"/>
      <c r="H86" s="23"/>
      <c r="I86" s="167"/>
      <c r="J86" s="23"/>
      <c r="K86" s="23"/>
      <c r="L86" s="23"/>
      <c r="M86" s="23"/>
      <c r="N86" s="84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84"/>
      <c r="AN86" s="23"/>
      <c r="AO86" s="23"/>
      <c r="AP86" s="23"/>
      <c r="AQ86" s="23"/>
      <c r="AR86" s="23"/>
      <c r="AS86" s="23"/>
      <c r="AT86" s="84"/>
      <c r="AU86" s="23"/>
      <c r="AV86" s="23"/>
      <c r="AW86" s="23"/>
      <c r="AX86" s="23"/>
      <c r="AY86" s="23"/>
      <c r="AZ86" s="23"/>
      <c r="BA86" s="23"/>
      <c r="BB86" s="23"/>
      <c r="BC86" s="84"/>
      <c r="BD86" s="61">
        <f>SUM('AC-SVC'!C86)*BD$7</f>
        <v>0</v>
      </c>
      <c r="BE86" s="61">
        <f>SUM('AC-SVC'!D86)</f>
        <v>0</v>
      </c>
      <c r="BF86" s="61">
        <f>SUM('AC-SVC'!G86)</f>
        <v>0</v>
      </c>
      <c r="BG86" s="61">
        <f>SUM('AC-SVC'!J86)</f>
        <v>0</v>
      </c>
      <c r="BH86" s="61">
        <f>SUM('AC-SVC'!M86)</f>
        <v>0</v>
      </c>
      <c r="BI86" s="61">
        <f>SUM('AC-SVC'!P86)*BI$7</f>
        <v>0</v>
      </c>
      <c r="BJ86" s="61">
        <f>SUM(PT!C86)</f>
        <v>0</v>
      </c>
      <c r="BK86" s="61">
        <f>SUM(CCLC!C86)</f>
        <v>0</v>
      </c>
      <c r="BL86" s="61">
        <f>SUM(FC!D86)</f>
        <v>0</v>
      </c>
      <c r="BM86" s="61">
        <f>SUM(FN!F86)*BM$7</f>
        <v>0</v>
      </c>
      <c r="BN86" s="61">
        <f>SUM(FS!D86)</f>
        <v>0</v>
      </c>
      <c r="BO86" s="61">
        <f>SUM(IT!D86)</f>
        <v>0</v>
      </c>
      <c r="BP86" s="84"/>
      <c r="BQ86" s="62">
        <f>SUM(C86:H86)+SUM(BD86:BO86)</f>
        <v>0</v>
      </c>
      <c r="BS86" s="95">
        <f>SUM(Sheet1!C86)</f>
        <v>0</v>
      </c>
      <c r="BT86" s="288">
        <f t="shared" si="167"/>
        <v>0</v>
      </c>
    </row>
    <row r="87" spans="1:72" ht="12">
      <c r="A87" s="31" t="s">
        <v>22</v>
      </c>
      <c r="B87" s="31" t="s">
        <v>23</v>
      </c>
      <c r="C87" s="169"/>
      <c r="D87" s="169">
        <f>SUM(J87:M87)</f>
        <v>6000</v>
      </c>
      <c r="E87" s="169">
        <f>SUM(O87:AS87)</f>
        <v>24000</v>
      </c>
      <c r="F87" s="169">
        <f>SUM(AU87:BB87)</f>
        <v>6000</v>
      </c>
      <c r="G87" s="169"/>
      <c r="H87" s="169"/>
      <c r="I87" s="167"/>
      <c r="J87" s="169"/>
      <c r="K87" s="169"/>
      <c r="L87" s="169">
        <v>6000</v>
      </c>
      <c r="M87" s="169"/>
      <c r="N87" s="173"/>
      <c r="O87" s="169"/>
      <c r="P87" s="169"/>
      <c r="Q87" s="169">
        <v>6000</v>
      </c>
      <c r="R87" s="169">
        <v>6000</v>
      </c>
      <c r="S87" s="169"/>
      <c r="T87" s="169"/>
      <c r="U87" s="169">
        <v>4000</v>
      </c>
      <c r="V87" s="169"/>
      <c r="W87" s="169"/>
      <c r="X87" s="169"/>
      <c r="Y87" s="169"/>
      <c r="Z87" s="169">
        <v>4000</v>
      </c>
      <c r="AA87" s="169">
        <v>4000</v>
      </c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73"/>
      <c r="AN87" s="169"/>
      <c r="AO87" s="169"/>
      <c r="AP87" s="169"/>
      <c r="AQ87" s="169"/>
      <c r="AR87" s="169"/>
      <c r="AS87" s="169"/>
      <c r="AT87" s="173"/>
      <c r="AU87" s="169"/>
      <c r="AV87" s="169"/>
      <c r="AW87" s="169"/>
      <c r="AX87" s="169"/>
      <c r="AY87" s="169">
        <v>6000</v>
      </c>
      <c r="AZ87" s="169"/>
      <c r="BA87" s="169"/>
      <c r="BB87" s="169"/>
      <c r="BC87" s="84"/>
      <c r="BD87" s="20">
        <f>SUM('AC-SVC'!C87)*BD$7</f>
        <v>0</v>
      </c>
      <c r="BE87" s="20">
        <f>SUM('AC-SVC'!D87)</f>
        <v>0</v>
      </c>
      <c r="BF87" s="20">
        <f>SUM('AC-SVC'!G87)</f>
        <v>0</v>
      </c>
      <c r="BG87" s="20">
        <f>SUM('AC-SVC'!J87)</f>
        <v>0</v>
      </c>
      <c r="BH87" s="20">
        <f>SUM('AC-SVC'!M87)</f>
        <v>0</v>
      </c>
      <c r="BI87" s="20">
        <f>SUM('AC-SVC'!P87)*BI$7</f>
        <v>0</v>
      </c>
      <c r="BJ87" s="20">
        <f>SUM(PT!C87)</f>
        <v>0</v>
      </c>
      <c r="BK87" s="20">
        <f>SUM(CCLC!C87)</f>
        <v>0</v>
      </c>
      <c r="BL87" s="20">
        <f>SUM(FC!D87)</f>
        <v>3000</v>
      </c>
      <c r="BM87" s="20">
        <f>SUM(FN!F87)*BM$7</f>
        <v>0</v>
      </c>
      <c r="BN87" s="20">
        <f>SUM(FS!D87)</f>
        <v>0</v>
      </c>
      <c r="BO87" s="20">
        <f>SUM(IT!D87)</f>
        <v>0</v>
      </c>
      <c r="BP87" s="84"/>
      <c r="BQ87" s="63">
        <f>SUM(C87:H87)+SUM(BD87:BO87)</f>
        <v>39000</v>
      </c>
      <c r="BS87" s="96">
        <f>SUM(Sheet1!C87)</f>
        <v>15420</v>
      </c>
      <c r="BT87" s="288">
        <f t="shared" si="167"/>
        <v>39000</v>
      </c>
    </row>
    <row r="88" spans="1:72" s="30" customFormat="1" ht="10">
      <c r="A88" s="31"/>
      <c r="B88" s="31" t="s">
        <v>323</v>
      </c>
      <c r="C88" s="49">
        <f t="shared" ref="C88:BB88" si="168">SUM(C84:C87)</f>
        <v>0</v>
      </c>
      <c r="D88" s="49">
        <f t="shared" si="168"/>
        <v>7120</v>
      </c>
      <c r="E88" s="49">
        <f t="shared" si="168"/>
        <v>42200</v>
      </c>
      <c r="F88" s="49">
        <f t="shared" si="168"/>
        <v>14400</v>
      </c>
      <c r="G88" s="49">
        <f t="shared" si="168"/>
        <v>0</v>
      </c>
      <c r="H88" s="49">
        <f t="shared" si="168"/>
        <v>0</v>
      </c>
      <c r="I88" s="170"/>
      <c r="J88" s="49">
        <f t="shared" si="168"/>
        <v>280</v>
      </c>
      <c r="K88" s="49">
        <f t="shared" si="168"/>
        <v>280</v>
      </c>
      <c r="L88" s="49">
        <f t="shared" si="168"/>
        <v>6280</v>
      </c>
      <c r="M88" s="49">
        <f t="shared" si="168"/>
        <v>280</v>
      </c>
      <c r="N88" s="171"/>
      <c r="O88" s="49">
        <f t="shared" si="168"/>
        <v>280</v>
      </c>
      <c r="P88" s="49">
        <f t="shared" si="168"/>
        <v>280</v>
      </c>
      <c r="Q88" s="49">
        <f t="shared" si="168"/>
        <v>6280</v>
      </c>
      <c r="R88" s="49">
        <f t="shared" si="168"/>
        <v>6280</v>
      </c>
      <c r="S88" s="49">
        <f t="shared" si="168"/>
        <v>280</v>
      </c>
      <c r="T88" s="49">
        <f t="shared" si="168"/>
        <v>280</v>
      </c>
      <c r="U88" s="49">
        <f t="shared" si="168"/>
        <v>4280</v>
      </c>
      <c r="V88" s="49">
        <f t="shared" si="168"/>
        <v>280</v>
      </c>
      <c r="W88" s="49">
        <f t="shared" si="168"/>
        <v>1050</v>
      </c>
      <c r="X88" s="49">
        <f t="shared" si="168"/>
        <v>280</v>
      </c>
      <c r="Y88" s="49">
        <f t="shared" si="168"/>
        <v>280</v>
      </c>
      <c r="Z88" s="49">
        <f t="shared" si="168"/>
        <v>4280</v>
      </c>
      <c r="AA88" s="49">
        <f t="shared" si="168"/>
        <v>4280</v>
      </c>
      <c r="AB88" s="49">
        <f t="shared" si="168"/>
        <v>1050</v>
      </c>
      <c r="AC88" s="49">
        <f t="shared" si="168"/>
        <v>280</v>
      </c>
      <c r="AD88" s="49">
        <f t="shared" si="168"/>
        <v>280</v>
      </c>
      <c r="AE88" s="49">
        <f t="shared" si="168"/>
        <v>280</v>
      </c>
      <c r="AF88" s="49">
        <f t="shared" si="168"/>
        <v>280</v>
      </c>
      <c r="AG88" s="49">
        <f t="shared" si="168"/>
        <v>1050</v>
      </c>
      <c r="AH88" s="49">
        <f t="shared" si="168"/>
        <v>280</v>
      </c>
      <c r="AI88" s="49">
        <f t="shared" si="168"/>
        <v>280</v>
      </c>
      <c r="AJ88" s="49">
        <f t="shared" si="168"/>
        <v>280</v>
      </c>
      <c r="AK88" s="49">
        <f t="shared" si="168"/>
        <v>280</v>
      </c>
      <c r="AL88" s="49">
        <f t="shared" si="168"/>
        <v>1050</v>
      </c>
      <c r="AM88" s="171"/>
      <c r="AN88" s="49">
        <f t="shared" si="168"/>
        <v>2100</v>
      </c>
      <c r="AO88" s="49">
        <f t="shared" si="168"/>
        <v>2100</v>
      </c>
      <c r="AP88" s="49">
        <f t="shared" si="168"/>
        <v>1050</v>
      </c>
      <c r="AQ88" s="49">
        <f t="shared" si="168"/>
        <v>1050</v>
      </c>
      <c r="AR88" s="49">
        <f t="shared" si="168"/>
        <v>1050</v>
      </c>
      <c r="AS88" s="49">
        <f t="shared" si="168"/>
        <v>1050</v>
      </c>
      <c r="AT88" s="171"/>
      <c r="AU88" s="49">
        <f t="shared" si="168"/>
        <v>1050</v>
      </c>
      <c r="AV88" s="49">
        <f t="shared" si="168"/>
        <v>1050</v>
      </c>
      <c r="AW88" s="49">
        <f t="shared" si="168"/>
        <v>1050</v>
      </c>
      <c r="AX88" s="49">
        <f t="shared" si="168"/>
        <v>1050</v>
      </c>
      <c r="AY88" s="49">
        <f t="shared" si="168"/>
        <v>7050</v>
      </c>
      <c r="AZ88" s="49">
        <f t="shared" si="168"/>
        <v>1050</v>
      </c>
      <c r="BA88" s="49">
        <f t="shared" si="168"/>
        <v>1050</v>
      </c>
      <c r="BB88" s="49">
        <f t="shared" si="168"/>
        <v>1050</v>
      </c>
      <c r="BC88" s="171"/>
      <c r="BD88" s="41">
        <f t="shared" ref="BD88:BI88" si="169">+SUM(BD84:BD87)</f>
        <v>0</v>
      </c>
      <c r="BE88" s="49">
        <f t="shared" si="169"/>
        <v>0</v>
      </c>
      <c r="BF88" s="41">
        <f t="shared" si="169"/>
        <v>0</v>
      </c>
      <c r="BG88" s="41">
        <f t="shared" si="169"/>
        <v>0</v>
      </c>
      <c r="BH88" s="41">
        <f t="shared" si="169"/>
        <v>0</v>
      </c>
      <c r="BI88" s="41">
        <f t="shared" si="169"/>
        <v>0</v>
      </c>
      <c r="BJ88" s="41">
        <f>+SUM(BJ84:BJ87)</f>
        <v>0</v>
      </c>
      <c r="BK88" s="41">
        <f>+SUM(BK84:BK87)</f>
        <v>0</v>
      </c>
      <c r="BL88" s="41">
        <f>+SUM(BL84:BL87)</f>
        <v>15000</v>
      </c>
      <c r="BM88" s="41">
        <f t="shared" ref="BM88" si="170">+SUM(BM84:BM87)</f>
        <v>0</v>
      </c>
      <c r="BN88" s="41">
        <f>+SUM(BN84:BN87)</f>
        <v>4300</v>
      </c>
      <c r="BO88" s="41">
        <f>+SUM(BO84:BO87)</f>
        <v>0</v>
      </c>
      <c r="BP88" s="171"/>
      <c r="BQ88" s="49">
        <f>SUM(BQ84:BQ87)</f>
        <v>83020</v>
      </c>
      <c r="BS88" s="94">
        <f>SUM(BS84:BS87)</f>
        <v>20351.73</v>
      </c>
      <c r="BT88" s="293">
        <f>SUM(BT84:BT87)</f>
        <v>83020</v>
      </c>
    </row>
    <row r="89" spans="1:72">
      <c r="C89" s="23"/>
      <c r="D89" s="23"/>
      <c r="E89" s="23"/>
      <c r="F89" s="23"/>
      <c r="G89" s="23"/>
      <c r="H89" s="23"/>
      <c r="I89" s="167"/>
      <c r="J89" s="23"/>
      <c r="K89" s="23"/>
      <c r="L89" s="23"/>
      <c r="M89" s="23"/>
      <c r="N89" s="84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84"/>
      <c r="AN89" s="23"/>
      <c r="AO89" s="23"/>
      <c r="AP89" s="23"/>
      <c r="AQ89" s="23"/>
      <c r="AR89" s="23"/>
      <c r="AS89" s="23"/>
      <c r="AT89" s="84"/>
      <c r="AU89" s="23"/>
      <c r="AV89" s="23"/>
      <c r="AW89" s="23"/>
      <c r="AX89" s="23"/>
      <c r="AY89" s="23"/>
      <c r="AZ89" s="23"/>
      <c r="BA89" s="23"/>
      <c r="BB89" s="23"/>
      <c r="BC89" s="84"/>
      <c r="BD89" s="21"/>
      <c r="BE89" s="23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84"/>
      <c r="BS89" s="94"/>
    </row>
    <row r="90" spans="1:72" s="30" customFormat="1" ht="12">
      <c r="A90" s="31"/>
      <c r="B90" s="31" t="s">
        <v>324</v>
      </c>
      <c r="C90" s="49">
        <f t="shared" ref="C90:BB90" si="171">SUM(C80+C88)</f>
        <v>0</v>
      </c>
      <c r="D90" s="49">
        <f t="shared" si="171"/>
        <v>295637.04372782516</v>
      </c>
      <c r="E90" s="49">
        <f t="shared" si="171"/>
        <v>1940729.1023606253</v>
      </c>
      <c r="F90" s="49">
        <f t="shared" si="171"/>
        <v>551145.66869810829</v>
      </c>
      <c r="G90" s="49">
        <f t="shared" si="171"/>
        <v>168200.70825199739</v>
      </c>
      <c r="H90" s="49">
        <f t="shared" si="171"/>
        <v>116216</v>
      </c>
      <c r="I90" s="170"/>
      <c r="J90" s="49">
        <f t="shared" si="171"/>
        <v>87902.472852331513</v>
      </c>
      <c r="K90" s="49">
        <f t="shared" si="171"/>
        <v>71823.443680806129</v>
      </c>
      <c r="L90" s="49">
        <f t="shared" si="171"/>
        <v>70734.233219999995</v>
      </c>
      <c r="M90" s="49">
        <f t="shared" si="171"/>
        <v>65176.893974687482</v>
      </c>
      <c r="N90" s="171"/>
      <c r="O90" s="49">
        <f t="shared" si="171"/>
        <v>70060.48646328933</v>
      </c>
      <c r="P90" s="49">
        <f t="shared" si="171"/>
        <v>75728.599474872477</v>
      </c>
      <c r="Q90" s="49">
        <f t="shared" si="171"/>
        <v>73323.376800393526</v>
      </c>
      <c r="R90" s="49">
        <f t="shared" si="171"/>
        <v>63188.233219999995</v>
      </c>
      <c r="S90" s="49">
        <f t="shared" si="171"/>
        <v>65176.893974687482</v>
      </c>
      <c r="T90" s="49">
        <f t="shared" si="171"/>
        <v>73608.55635154956</v>
      </c>
      <c r="U90" s="49">
        <f t="shared" si="171"/>
        <v>74523.131334694306</v>
      </c>
      <c r="V90" s="49">
        <f t="shared" si="171"/>
        <v>62675.442999999999</v>
      </c>
      <c r="W90" s="49">
        <f t="shared" si="171"/>
        <v>49021.324401629718</v>
      </c>
      <c r="X90" s="49">
        <f t="shared" si="171"/>
        <v>65581.626273554662</v>
      </c>
      <c r="Y90" s="49">
        <f t="shared" si="171"/>
        <v>71093.298401629712</v>
      </c>
      <c r="Z90" s="49">
        <f t="shared" si="171"/>
        <v>66675.442999999999</v>
      </c>
      <c r="AA90" s="49">
        <f t="shared" si="171"/>
        <v>70668.117580393533</v>
      </c>
      <c r="AB90" s="49">
        <f t="shared" si="171"/>
        <v>45596.143580393531</v>
      </c>
      <c r="AC90" s="49">
        <f t="shared" si="171"/>
        <v>57954.477303125401</v>
      </c>
      <c r="AD90" s="49">
        <f t="shared" si="171"/>
        <v>60154.622199474099</v>
      </c>
      <c r="AE90" s="49">
        <f t="shared" si="171"/>
        <v>53157.987000000001</v>
      </c>
      <c r="AF90" s="49">
        <f t="shared" si="171"/>
        <v>56860.784169903367</v>
      </c>
      <c r="AG90" s="49">
        <f t="shared" si="171"/>
        <v>49351.292099150945</v>
      </c>
      <c r="AH90" s="49">
        <f t="shared" si="171"/>
        <v>61699.224121670457</v>
      </c>
      <c r="AI90" s="49">
        <f t="shared" si="171"/>
        <v>57188.413779903363</v>
      </c>
      <c r="AJ90" s="49">
        <f t="shared" si="171"/>
        <v>45939.797169903366</v>
      </c>
      <c r="AK90" s="49">
        <f t="shared" si="171"/>
        <v>44112</v>
      </c>
      <c r="AL90" s="49">
        <f t="shared" si="171"/>
        <v>43449.660754687487</v>
      </c>
      <c r="AM90" s="171"/>
      <c r="AN90" s="49">
        <f t="shared" si="171"/>
        <v>106536.03792459086</v>
      </c>
      <c r="AO90" s="49">
        <f t="shared" si="171"/>
        <v>126835</v>
      </c>
      <c r="AP90" s="49">
        <f t="shared" si="171"/>
        <v>77479.494222120673</v>
      </c>
      <c r="AQ90" s="49">
        <f t="shared" si="171"/>
        <v>44509.652273554668</v>
      </c>
      <c r="AR90" s="49">
        <f t="shared" si="171"/>
        <v>93118.696760453153</v>
      </c>
      <c r="AS90" s="49">
        <f t="shared" si="171"/>
        <v>35461.288724999991</v>
      </c>
      <c r="AT90" s="171"/>
      <c r="AU90" s="49">
        <f t="shared" si="171"/>
        <v>85063.121273554672</v>
      </c>
      <c r="AV90" s="49">
        <f t="shared" si="171"/>
        <v>66149</v>
      </c>
      <c r="AW90" s="49">
        <f t="shared" si="171"/>
        <v>45596.143580393531</v>
      </c>
      <c r="AX90" s="49">
        <f t="shared" si="171"/>
        <v>66239.478410331998</v>
      </c>
      <c r="AY90" s="49">
        <f t="shared" si="171"/>
        <v>49976</v>
      </c>
      <c r="AZ90" s="49">
        <f t="shared" si="171"/>
        <v>87969.304547109336</v>
      </c>
      <c r="BA90" s="49">
        <f t="shared" si="171"/>
        <v>66149.491132031224</v>
      </c>
      <c r="BB90" s="49">
        <f t="shared" si="171"/>
        <v>84003.129754687485</v>
      </c>
      <c r="BC90" s="171"/>
      <c r="BD90" s="49">
        <f t="shared" ref="BD90:BI90" si="172">SUM(BD80+BD88)</f>
        <v>0</v>
      </c>
      <c r="BE90" s="49">
        <f t="shared" si="172"/>
        <v>55679</v>
      </c>
      <c r="BF90" s="49">
        <f t="shared" si="172"/>
        <v>21635.520439500004</v>
      </c>
      <c r="BG90" s="49">
        <f t="shared" si="172"/>
        <v>52453</v>
      </c>
      <c r="BH90" s="49">
        <f t="shared" si="172"/>
        <v>37593.065763000006</v>
      </c>
      <c r="BI90" s="49">
        <f t="shared" si="172"/>
        <v>0</v>
      </c>
      <c r="BJ90" s="41">
        <f t="shared" ref="BJ90:BO90" si="173">+BJ80+BJ88</f>
        <v>28533.06</v>
      </c>
      <c r="BK90" s="41">
        <f t="shared" si="173"/>
        <v>0</v>
      </c>
      <c r="BL90" s="41">
        <f t="shared" si="173"/>
        <v>155253</v>
      </c>
      <c r="BM90" s="41">
        <f t="shared" si="173"/>
        <v>0</v>
      </c>
      <c r="BN90" s="41">
        <f t="shared" si="173"/>
        <v>100304.35013025001</v>
      </c>
      <c r="BO90" s="41">
        <f t="shared" si="173"/>
        <v>0</v>
      </c>
      <c r="BP90" s="171"/>
      <c r="BQ90" s="41">
        <f>+BQ80+BQ88</f>
        <v>3523379.519371307</v>
      </c>
      <c r="BS90" s="94">
        <f>SUM(BS80+BS88)</f>
        <v>3412448.4099999997</v>
      </c>
      <c r="BT90" s="279">
        <f>SUM(BT80+BT88)</f>
        <v>3575144.2302911864</v>
      </c>
    </row>
    <row r="91" spans="1:72">
      <c r="C91" s="23"/>
      <c r="D91" s="23"/>
      <c r="E91" s="23"/>
      <c r="F91" s="23"/>
      <c r="G91" s="23"/>
      <c r="H91" s="23"/>
      <c r="I91" s="167"/>
      <c r="J91" s="23"/>
      <c r="K91" s="23"/>
      <c r="L91" s="23"/>
      <c r="M91" s="23"/>
      <c r="N91" s="84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84"/>
      <c r="AN91" s="23"/>
      <c r="AO91" s="23"/>
      <c r="AP91" s="23"/>
      <c r="AQ91" s="23"/>
      <c r="AR91" s="23"/>
      <c r="AS91" s="23"/>
      <c r="AT91" s="84"/>
      <c r="AU91" s="23"/>
      <c r="AV91" s="23"/>
      <c r="AW91" s="23"/>
      <c r="AX91" s="23"/>
      <c r="AY91" s="23"/>
      <c r="AZ91" s="23"/>
      <c r="BA91" s="23"/>
      <c r="BB91" s="23"/>
      <c r="BC91" s="84"/>
      <c r="BD91" s="21"/>
      <c r="BE91" s="23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84"/>
      <c r="BS91" s="94"/>
    </row>
    <row r="92" spans="1:72">
      <c r="A92" s="31" t="s">
        <v>325</v>
      </c>
      <c r="C92" s="23"/>
      <c r="D92" s="23"/>
      <c r="E92" s="23"/>
      <c r="F92" s="23"/>
      <c r="G92" s="23"/>
      <c r="H92" s="23"/>
      <c r="I92" s="167"/>
      <c r="J92" s="23"/>
      <c r="K92" s="23"/>
      <c r="L92" s="23"/>
      <c r="M92" s="23"/>
      <c r="N92" s="84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84"/>
      <c r="AN92" s="23"/>
      <c r="AO92" s="23"/>
      <c r="AP92" s="23"/>
      <c r="AQ92" s="23"/>
      <c r="AR92" s="23"/>
      <c r="AS92" s="23"/>
      <c r="AT92" s="84"/>
      <c r="AU92" s="23"/>
      <c r="AV92" s="23"/>
      <c r="AW92" s="23"/>
      <c r="AX92" s="23"/>
      <c r="AY92" s="23"/>
      <c r="AZ92" s="23"/>
      <c r="BA92" s="23"/>
      <c r="BB92" s="23"/>
      <c r="BC92" s="84"/>
      <c r="BD92" s="21"/>
      <c r="BE92" s="23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84"/>
      <c r="BS92" s="94"/>
    </row>
    <row r="93" spans="1:72" ht="12">
      <c r="A93" s="31" t="s">
        <v>25</v>
      </c>
      <c r="B93" s="31" t="s">
        <v>33</v>
      </c>
      <c r="C93" s="23"/>
      <c r="D93" s="23">
        <f>SUM(J93:M93)</f>
        <v>28151.423999999999</v>
      </c>
      <c r="E93" s="157">
        <f t="shared" ref="E93:E101" si="174">SUM(O93:AS93)</f>
        <v>177705.86399999994</v>
      </c>
      <c r="F93" s="23">
        <f>SUM(AU93:BB93)</f>
        <v>43986.6</v>
      </c>
      <c r="G93" s="23">
        <f>+G$7*139.64*2*1.05*12</f>
        <v>12316.248</v>
      </c>
      <c r="H93" s="23">
        <f>+H$7*139.64*2*1.05*12</f>
        <v>7037.8559999999998</v>
      </c>
      <c r="I93" s="167"/>
      <c r="J93" s="23">
        <f t="shared" ref="J93:BB93" si="175">+J$7*139.64*2*1.05*12</f>
        <v>7037.8559999999998</v>
      </c>
      <c r="K93" s="23">
        <f t="shared" si="175"/>
        <v>7037.8559999999998</v>
      </c>
      <c r="L93" s="23">
        <f t="shared" si="175"/>
        <v>7037.8559999999998</v>
      </c>
      <c r="M93" s="23">
        <f t="shared" si="175"/>
        <v>7037.8559999999998</v>
      </c>
      <c r="N93" s="84"/>
      <c r="O93" s="23">
        <f t="shared" si="175"/>
        <v>7037.8559999999998</v>
      </c>
      <c r="P93" s="23">
        <f t="shared" si="175"/>
        <v>7037.8559999999998</v>
      </c>
      <c r="Q93" s="23">
        <f t="shared" si="175"/>
        <v>7037.8559999999998</v>
      </c>
      <c r="R93" s="23">
        <f t="shared" si="175"/>
        <v>7037.8559999999998</v>
      </c>
      <c r="S93" s="23">
        <f t="shared" si="175"/>
        <v>7037.8559999999998</v>
      </c>
      <c r="T93" s="23">
        <f t="shared" si="175"/>
        <v>7037.8559999999998</v>
      </c>
      <c r="U93" s="23">
        <f t="shared" si="175"/>
        <v>7037.8559999999998</v>
      </c>
      <c r="V93" s="23">
        <f t="shared" si="175"/>
        <v>7037.8559999999998</v>
      </c>
      <c r="W93" s="23">
        <f t="shared" si="175"/>
        <v>3518.9279999999999</v>
      </c>
      <c r="X93" s="23">
        <f t="shared" si="175"/>
        <v>7037.8559999999998</v>
      </c>
      <c r="Y93" s="23">
        <f t="shared" si="175"/>
        <v>7037.8559999999998</v>
      </c>
      <c r="Z93" s="23">
        <f t="shared" si="175"/>
        <v>7037.8559999999998</v>
      </c>
      <c r="AA93" s="23">
        <f t="shared" si="175"/>
        <v>7037.8559999999998</v>
      </c>
      <c r="AB93" s="23">
        <f t="shared" si="175"/>
        <v>3518.9279999999999</v>
      </c>
      <c r="AC93" s="23">
        <f t="shared" si="175"/>
        <v>5278.3919999999998</v>
      </c>
      <c r="AD93" s="23">
        <f t="shared" si="175"/>
        <v>5278.3919999999998</v>
      </c>
      <c r="AE93" s="23">
        <f t="shared" si="175"/>
        <v>5278.3919999999998</v>
      </c>
      <c r="AF93" s="23">
        <f t="shared" si="175"/>
        <v>5278.3919999999998</v>
      </c>
      <c r="AG93" s="23">
        <f t="shared" si="175"/>
        <v>3518.9279999999999</v>
      </c>
      <c r="AH93" s="23">
        <f t="shared" si="175"/>
        <v>3518.9279999999999</v>
      </c>
      <c r="AI93" s="23">
        <f t="shared" si="175"/>
        <v>3518.9279999999999</v>
      </c>
      <c r="AJ93" s="23">
        <f t="shared" si="175"/>
        <v>3518.9279999999999</v>
      </c>
      <c r="AK93" s="23">
        <f t="shared" si="175"/>
        <v>3518.9279999999999</v>
      </c>
      <c r="AL93" s="23">
        <f t="shared" si="175"/>
        <v>3518.9279999999999</v>
      </c>
      <c r="AM93" s="84"/>
      <c r="AN93" s="23">
        <f t="shared" si="175"/>
        <v>8797.32</v>
      </c>
      <c r="AO93" s="23">
        <f t="shared" si="175"/>
        <v>10556.784</v>
      </c>
      <c r="AP93" s="23">
        <f t="shared" si="175"/>
        <v>7037.8559999999998</v>
      </c>
      <c r="AQ93" s="23">
        <f t="shared" si="175"/>
        <v>3518.9279999999999</v>
      </c>
      <c r="AR93" s="23">
        <f t="shared" si="175"/>
        <v>10556.784</v>
      </c>
      <c r="AS93" s="23">
        <f t="shared" si="175"/>
        <v>3518.9279999999999</v>
      </c>
      <c r="AT93" s="84"/>
      <c r="AU93" s="23">
        <f t="shared" si="175"/>
        <v>7037.8559999999998</v>
      </c>
      <c r="AV93" s="23">
        <f t="shared" si="175"/>
        <v>5278.3919999999998</v>
      </c>
      <c r="AW93" s="23">
        <f t="shared" si="175"/>
        <v>3518.9279999999999</v>
      </c>
      <c r="AX93" s="23">
        <f t="shared" si="175"/>
        <v>5278.3919999999998</v>
      </c>
      <c r="AY93" s="23">
        <f t="shared" si="175"/>
        <v>3518.9279999999999</v>
      </c>
      <c r="AZ93" s="23">
        <f t="shared" si="175"/>
        <v>7037.8559999999998</v>
      </c>
      <c r="BA93" s="23">
        <f t="shared" si="175"/>
        <v>5278.3919999999998</v>
      </c>
      <c r="BB93" s="23">
        <f t="shared" si="175"/>
        <v>7037.8559999999998</v>
      </c>
      <c r="BC93" s="84"/>
      <c r="BD93" s="61">
        <f>SUM('AC-SVC'!C93)*BD$7</f>
        <v>0</v>
      </c>
      <c r="BE93" s="61">
        <f>SUM('AC-SVC'!D93)</f>
        <v>3518.9279999999999</v>
      </c>
      <c r="BF93" s="61">
        <f>SUM('AC-SVC'!G93)</f>
        <v>1583.5176000000001</v>
      </c>
      <c r="BG93" s="61">
        <f>SUM('AC-SVC'!J93)</f>
        <v>3518.9279999999999</v>
      </c>
      <c r="BH93" s="61">
        <f>SUM('AC-SVC'!M93)</f>
        <v>3167.0352000000003</v>
      </c>
      <c r="BI93" s="61">
        <f>SUM('AC-SVC'!P93)*BI$7</f>
        <v>0</v>
      </c>
      <c r="BJ93" s="61">
        <f>SUM(PT!C93)</f>
        <v>0</v>
      </c>
      <c r="BK93" s="61">
        <f>SUM(CCLC!C93)</f>
        <v>0</v>
      </c>
      <c r="BL93" s="61">
        <f>SUM(FC!D93)</f>
        <v>21113.567999999999</v>
      </c>
      <c r="BM93" s="61">
        <f>SUM(FN!F93)*BM$7</f>
        <v>0</v>
      </c>
      <c r="BN93" s="61">
        <f>SUM(FS!D93)</f>
        <v>14075.712</v>
      </c>
      <c r="BO93" s="61">
        <f>SUM(IT!D93)</f>
        <v>0</v>
      </c>
      <c r="BP93" s="84"/>
      <c r="BQ93" s="62">
        <f t="shared" ref="BQ93:BQ101" si="176">SUM(C93:H93)+SUM(BD93:BO93)</f>
        <v>316175.68079999997</v>
      </c>
      <c r="BS93" s="95">
        <f>SUM(Sheet1!C93)</f>
        <v>222846.33</v>
      </c>
      <c r="BT93" s="288">
        <f>BT90*0.08</f>
        <v>286011.5384232949</v>
      </c>
    </row>
    <row r="94" spans="1:72" ht="12">
      <c r="A94" s="31" t="s">
        <v>26</v>
      </c>
      <c r="B94" s="31" t="s">
        <v>34</v>
      </c>
      <c r="C94" s="23"/>
      <c r="D94" s="23">
        <f>SUM(J94:M94)</f>
        <v>1711.6415999999999</v>
      </c>
      <c r="E94" s="157">
        <f t="shared" si="174"/>
        <v>10804.737599999999</v>
      </c>
      <c r="F94" s="23">
        <f>SUM(AU94:BB94)</f>
        <v>2674.4399999999996</v>
      </c>
      <c r="G94" s="23">
        <f t="shared" ref="G94:H94" si="177">+G$7*8.74*2*1.02*12</f>
        <v>748.84320000000002</v>
      </c>
      <c r="H94" s="23">
        <f t="shared" si="177"/>
        <v>427.91039999999998</v>
      </c>
      <c r="I94" s="167"/>
      <c r="J94" s="23">
        <f t="shared" ref="J94:BB94" si="178">+J$7*8.74*2*1.02*12</f>
        <v>427.91039999999998</v>
      </c>
      <c r="K94" s="23">
        <f t="shared" si="178"/>
        <v>427.91039999999998</v>
      </c>
      <c r="L94" s="23">
        <f t="shared" si="178"/>
        <v>427.91039999999998</v>
      </c>
      <c r="M94" s="23">
        <f t="shared" si="178"/>
        <v>427.91039999999998</v>
      </c>
      <c r="N94" s="84"/>
      <c r="O94" s="23">
        <f t="shared" si="178"/>
        <v>427.91039999999998</v>
      </c>
      <c r="P94" s="23">
        <f t="shared" si="178"/>
        <v>427.91039999999998</v>
      </c>
      <c r="Q94" s="23">
        <f t="shared" si="178"/>
        <v>427.91039999999998</v>
      </c>
      <c r="R94" s="23">
        <f t="shared" si="178"/>
        <v>427.91039999999998</v>
      </c>
      <c r="S94" s="23">
        <f t="shared" si="178"/>
        <v>427.91039999999998</v>
      </c>
      <c r="T94" s="23">
        <f t="shared" si="178"/>
        <v>427.91039999999998</v>
      </c>
      <c r="U94" s="23">
        <f t="shared" si="178"/>
        <v>427.91039999999998</v>
      </c>
      <c r="V94" s="23">
        <f t="shared" si="178"/>
        <v>427.91039999999998</v>
      </c>
      <c r="W94" s="23">
        <f t="shared" si="178"/>
        <v>213.95519999999999</v>
      </c>
      <c r="X94" s="23">
        <f t="shared" si="178"/>
        <v>427.91039999999998</v>
      </c>
      <c r="Y94" s="23">
        <f t="shared" si="178"/>
        <v>427.91039999999998</v>
      </c>
      <c r="Z94" s="23">
        <f t="shared" si="178"/>
        <v>427.91039999999998</v>
      </c>
      <c r="AA94" s="23">
        <f t="shared" si="178"/>
        <v>427.91039999999998</v>
      </c>
      <c r="AB94" s="23">
        <f t="shared" si="178"/>
        <v>213.95519999999999</v>
      </c>
      <c r="AC94" s="23">
        <f t="shared" si="178"/>
        <v>320.93279999999999</v>
      </c>
      <c r="AD94" s="23">
        <f t="shared" si="178"/>
        <v>320.93279999999999</v>
      </c>
      <c r="AE94" s="23">
        <f t="shared" si="178"/>
        <v>320.93279999999999</v>
      </c>
      <c r="AF94" s="23">
        <f t="shared" si="178"/>
        <v>320.93279999999999</v>
      </c>
      <c r="AG94" s="23">
        <f t="shared" si="178"/>
        <v>213.95519999999999</v>
      </c>
      <c r="AH94" s="23">
        <f t="shared" si="178"/>
        <v>213.95519999999999</v>
      </c>
      <c r="AI94" s="23">
        <f t="shared" si="178"/>
        <v>213.95519999999999</v>
      </c>
      <c r="AJ94" s="23">
        <f t="shared" si="178"/>
        <v>213.95519999999999</v>
      </c>
      <c r="AK94" s="23">
        <f t="shared" si="178"/>
        <v>213.95519999999999</v>
      </c>
      <c r="AL94" s="23">
        <f t="shared" si="178"/>
        <v>213.95519999999999</v>
      </c>
      <c r="AM94" s="84"/>
      <c r="AN94" s="23">
        <f t="shared" si="178"/>
        <v>534.88800000000003</v>
      </c>
      <c r="AO94" s="23">
        <f t="shared" si="178"/>
        <v>641.86559999999997</v>
      </c>
      <c r="AP94" s="23">
        <f t="shared" si="178"/>
        <v>427.91039999999998</v>
      </c>
      <c r="AQ94" s="23">
        <f t="shared" si="178"/>
        <v>213.95519999999999</v>
      </c>
      <c r="AR94" s="23">
        <f t="shared" si="178"/>
        <v>641.86559999999997</v>
      </c>
      <c r="AS94" s="23">
        <f t="shared" si="178"/>
        <v>213.95519999999999</v>
      </c>
      <c r="AT94" s="84"/>
      <c r="AU94" s="23">
        <f t="shared" si="178"/>
        <v>427.91039999999998</v>
      </c>
      <c r="AV94" s="23">
        <f t="shared" si="178"/>
        <v>320.93279999999999</v>
      </c>
      <c r="AW94" s="23">
        <f t="shared" si="178"/>
        <v>213.95519999999999</v>
      </c>
      <c r="AX94" s="23">
        <f t="shared" si="178"/>
        <v>320.93279999999999</v>
      </c>
      <c r="AY94" s="23">
        <f t="shared" si="178"/>
        <v>213.95519999999999</v>
      </c>
      <c r="AZ94" s="23">
        <f t="shared" si="178"/>
        <v>427.91039999999998</v>
      </c>
      <c r="BA94" s="23">
        <f t="shared" si="178"/>
        <v>320.93279999999999</v>
      </c>
      <c r="BB94" s="23">
        <f t="shared" si="178"/>
        <v>427.91039999999998</v>
      </c>
      <c r="BC94" s="84"/>
      <c r="BD94" s="61">
        <f>SUM('AC-SVC'!C94)*BD$7</f>
        <v>0</v>
      </c>
      <c r="BE94" s="61">
        <f>SUM('AC-SVC'!D94)</f>
        <v>213.95519999999999</v>
      </c>
      <c r="BF94" s="61">
        <f>SUM('AC-SVC'!G94)</f>
        <v>64.507492800000009</v>
      </c>
      <c r="BG94" s="61">
        <f>SUM('AC-SVC'!J94)</f>
        <v>143.34998400000001</v>
      </c>
      <c r="BH94" s="61">
        <f>SUM('AC-SVC'!M94)</f>
        <v>129.01498560000002</v>
      </c>
      <c r="BI94" s="61">
        <f>SUM('AC-SVC'!P94)*BI$7</f>
        <v>0</v>
      </c>
      <c r="BJ94" s="61">
        <f>SUM(PT!C94)</f>
        <v>0</v>
      </c>
      <c r="BK94" s="61">
        <f>SUM(CCLC!C94)</f>
        <v>0</v>
      </c>
      <c r="BL94" s="61">
        <f>SUM(FC!D94)</f>
        <v>1283.7311999999999</v>
      </c>
      <c r="BM94" s="61">
        <f>SUM(FN!F94)*BM$7</f>
        <v>0</v>
      </c>
      <c r="BN94" s="61">
        <f>SUM(FS!D94)</f>
        <v>855.82079999999996</v>
      </c>
      <c r="BO94" s="61">
        <f>SUM(IT!D94)</f>
        <v>0</v>
      </c>
      <c r="BP94" s="84"/>
      <c r="BQ94" s="62">
        <f t="shared" si="176"/>
        <v>19057.952462399997</v>
      </c>
      <c r="BS94" s="95">
        <f>SUM(Sheet1!C94)</f>
        <v>12331.61</v>
      </c>
      <c r="BT94" s="288">
        <f>BT90*0.0036</f>
        <v>12870.51922904827</v>
      </c>
    </row>
    <row r="95" spans="1:72" ht="12">
      <c r="A95" s="31" t="s">
        <v>28</v>
      </c>
      <c r="B95" s="31" t="s">
        <v>27</v>
      </c>
      <c r="C95" s="23"/>
      <c r="D95" s="23">
        <f>(+D$88-D$84+D$80)*0.062</f>
        <v>18260.056711125158</v>
      </c>
      <c r="E95" s="157">
        <f t="shared" si="174"/>
        <v>119196.8043463588</v>
      </c>
      <c r="F95" s="23">
        <f>(+F$88-F$84+F$80)*0.062</f>
        <v>33650.231459282717</v>
      </c>
      <c r="G95" s="23">
        <f>(+G$88-G$84+G$80)*0.062</f>
        <v>10428.443911623839</v>
      </c>
      <c r="H95" s="23">
        <f>(+H$88-H$84+H$80)*0.062</f>
        <v>7205.3919999999998</v>
      </c>
      <c r="I95" s="167"/>
      <c r="J95" s="23">
        <f t="shared" ref="J95:BB95" si="179">(+J$88-J$84+J$80)*0.062</f>
        <v>5432.5933168445536</v>
      </c>
      <c r="K95" s="23">
        <f t="shared" si="179"/>
        <v>4435.6935082099799</v>
      </c>
      <c r="L95" s="23">
        <f t="shared" si="179"/>
        <v>4368.1624596399997</v>
      </c>
      <c r="M95" s="23">
        <f t="shared" si="179"/>
        <v>4023.6074264306239</v>
      </c>
      <c r="N95" s="84"/>
      <c r="O95" s="23">
        <f t="shared" si="179"/>
        <v>4326.3901607239386</v>
      </c>
      <c r="P95" s="23">
        <f t="shared" si="179"/>
        <v>4677.8131674420938</v>
      </c>
      <c r="Q95" s="23">
        <f t="shared" si="179"/>
        <v>4528.6893616243988</v>
      </c>
      <c r="R95" s="23">
        <f t="shared" si="179"/>
        <v>3900.3104596399999</v>
      </c>
      <c r="S95" s="23">
        <f t="shared" si="179"/>
        <v>4023.6074264306239</v>
      </c>
      <c r="T95" s="23">
        <f t="shared" si="179"/>
        <v>4546.3704937960729</v>
      </c>
      <c r="U95" s="23">
        <f t="shared" si="179"/>
        <v>4603.0741427510466</v>
      </c>
      <c r="V95" s="23">
        <f t="shared" si="179"/>
        <v>3868.5174659999998</v>
      </c>
      <c r="W95" s="23">
        <f t="shared" si="179"/>
        <v>2974.2221129010427</v>
      </c>
      <c r="X95" s="23">
        <f t="shared" si="179"/>
        <v>4048.7008289603891</v>
      </c>
      <c r="Y95" s="23">
        <f t="shared" si="179"/>
        <v>4390.4245009010419</v>
      </c>
      <c r="Z95" s="23">
        <f t="shared" si="179"/>
        <v>4116.5174660000002</v>
      </c>
      <c r="AA95" s="23">
        <f t="shared" si="179"/>
        <v>4364.0632899843986</v>
      </c>
      <c r="AB95" s="23">
        <f t="shared" si="179"/>
        <v>2761.8609019843989</v>
      </c>
      <c r="AC95" s="23">
        <f t="shared" si="179"/>
        <v>3575.817592793775</v>
      </c>
      <c r="AD95" s="23">
        <f t="shared" si="179"/>
        <v>3712.226576367394</v>
      </c>
      <c r="AE95" s="23">
        <f t="shared" si="179"/>
        <v>3278.4351940000001</v>
      </c>
      <c r="AF95" s="23">
        <f t="shared" si="179"/>
        <v>3508.0086185340087</v>
      </c>
      <c r="AG95" s="23">
        <f t="shared" si="179"/>
        <v>2994.6801101473584</v>
      </c>
      <c r="AH95" s="23">
        <f t="shared" si="179"/>
        <v>3807.9918955435683</v>
      </c>
      <c r="AI95" s="23">
        <f t="shared" si="179"/>
        <v>3528.3216543540084</v>
      </c>
      <c r="AJ95" s="23">
        <f t="shared" si="179"/>
        <v>2830.9074245340089</v>
      </c>
      <c r="AK95" s="23">
        <f t="shared" si="179"/>
        <v>2717.5839999999998</v>
      </c>
      <c r="AL95" s="23">
        <f t="shared" si="179"/>
        <v>2628.7789667906241</v>
      </c>
      <c r="AM95" s="84"/>
      <c r="AN95" s="23">
        <f t="shared" si="179"/>
        <v>6475.0343513246326</v>
      </c>
      <c r="AO95" s="23">
        <f t="shared" si="179"/>
        <v>7733.57</v>
      </c>
      <c r="AP95" s="23">
        <f t="shared" si="179"/>
        <v>4738.6286417714819</v>
      </c>
      <c r="AQ95" s="23">
        <f t="shared" si="179"/>
        <v>2694.4984409603894</v>
      </c>
      <c r="AR95" s="23">
        <f t="shared" si="179"/>
        <v>5708.2591991480958</v>
      </c>
      <c r="AS95" s="23">
        <f t="shared" si="179"/>
        <v>2133.4999009499993</v>
      </c>
      <c r="AT95" s="84"/>
      <c r="AU95" s="23">
        <f t="shared" si="179"/>
        <v>5208.81351896039</v>
      </c>
      <c r="AV95" s="23">
        <f t="shared" si="179"/>
        <v>4036.1379999999999</v>
      </c>
      <c r="AW95" s="23">
        <f t="shared" si="179"/>
        <v>2761.8609019843989</v>
      </c>
      <c r="AX95" s="23">
        <f t="shared" si="179"/>
        <v>4041.7476614405837</v>
      </c>
      <c r="AY95" s="23">
        <f t="shared" si="179"/>
        <v>3033.4119999999998</v>
      </c>
      <c r="AZ95" s="23">
        <f t="shared" si="179"/>
        <v>5388.9968819207788</v>
      </c>
      <c r="BA95" s="23">
        <f t="shared" si="179"/>
        <v>4036.1684501859363</v>
      </c>
      <c r="BB95" s="23">
        <f t="shared" si="179"/>
        <v>5143.0940447906241</v>
      </c>
      <c r="BC95" s="84"/>
      <c r="BD95" s="61">
        <f>SUM('AC-SVC'!C95)*BD$7</f>
        <v>0</v>
      </c>
      <c r="BE95" s="61">
        <f>SUM('AC-SVC'!D95)</f>
        <v>3452.098</v>
      </c>
      <c r="BF95" s="61">
        <f>SUM('AC-SVC'!G95)</f>
        <v>1341.4022672490003</v>
      </c>
      <c r="BG95" s="61">
        <f>SUM('AC-SVC'!J95)</f>
        <v>3252.0859999999998</v>
      </c>
      <c r="BH95" s="61">
        <f>SUM('AC-SVC'!M95)</f>
        <v>2330.7700773060005</v>
      </c>
      <c r="BI95" s="61">
        <f>SUM('AC-SVC'!P95)*BI$7</f>
        <v>0</v>
      </c>
      <c r="BJ95" s="61">
        <f>SUM(PT!C95)</f>
        <v>1769.04972</v>
      </c>
      <c r="BK95" s="61">
        <f>SUM(CCLC!C95)</f>
        <v>0</v>
      </c>
      <c r="BL95" s="61">
        <f>SUM(FC!D95)</f>
        <v>9625.6859999999997</v>
      </c>
      <c r="BM95" s="61">
        <f>SUM(FN!F95)*BM$7</f>
        <v>0</v>
      </c>
      <c r="BN95" s="61">
        <f>SUM(FS!D95)</f>
        <v>6045.2697080755006</v>
      </c>
      <c r="BO95" s="61">
        <f>SUM(IT!D95)</f>
        <v>0</v>
      </c>
      <c r="BP95" s="84"/>
      <c r="BQ95" s="62">
        <f t="shared" si="176"/>
        <v>216557.29020102101</v>
      </c>
      <c r="BS95" s="95">
        <f>SUM(Sheet1!C95)</f>
        <v>228874.55</v>
      </c>
      <c r="BT95" s="288">
        <f>SUM(Sheet1!I95)</f>
        <v>219119.68603773584</v>
      </c>
    </row>
    <row r="96" spans="1:72" ht="12">
      <c r="A96" s="31" t="s">
        <v>30</v>
      </c>
      <c r="B96" s="31" t="s">
        <v>29</v>
      </c>
      <c r="C96" s="23"/>
      <c r="D96" s="23">
        <f>(+D$88-D$84+D$80)*0.0145</f>
        <v>4270.4971340534648</v>
      </c>
      <c r="E96" s="157">
        <f t="shared" si="174"/>
        <v>27876.671984229073</v>
      </c>
      <c r="F96" s="23">
        <f>(+F$88-F$84+F$80)*0.0145</f>
        <v>7869.8121961225706</v>
      </c>
      <c r="G96" s="23">
        <f>(+G$88-G$84+G$80)*0.0145</f>
        <v>2438.9102696539621</v>
      </c>
      <c r="H96" s="23">
        <f>(+H$88-H$84+H$80)*0.0145</f>
        <v>1685.1320000000001</v>
      </c>
      <c r="I96" s="167"/>
      <c r="J96" s="23">
        <f t="shared" ref="J96:BB96" si="180">(+J$88-J$84+J$80)*0.0145</f>
        <v>1270.525856358807</v>
      </c>
      <c r="K96" s="23">
        <f t="shared" si="180"/>
        <v>1037.3799333716888</v>
      </c>
      <c r="L96" s="23">
        <f t="shared" si="180"/>
        <v>1021.5863816899999</v>
      </c>
      <c r="M96" s="23">
        <f t="shared" si="180"/>
        <v>941.0049626329685</v>
      </c>
      <c r="N96" s="84"/>
      <c r="O96" s="23">
        <f t="shared" si="180"/>
        <v>1011.8170537176953</v>
      </c>
      <c r="P96" s="23">
        <f t="shared" si="180"/>
        <v>1094.004692385651</v>
      </c>
      <c r="Q96" s="23">
        <f t="shared" si="180"/>
        <v>1059.1289636057061</v>
      </c>
      <c r="R96" s="23">
        <f t="shared" si="180"/>
        <v>912.16938169000002</v>
      </c>
      <c r="S96" s="23">
        <f t="shared" si="180"/>
        <v>941.0049626329685</v>
      </c>
      <c r="T96" s="23">
        <f t="shared" si="180"/>
        <v>1063.2640670974686</v>
      </c>
      <c r="U96" s="23">
        <f t="shared" si="180"/>
        <v>1076.5254043530674</v>
      </c>
      <c r="V96" s="23">
        <f t="shared" si="180"/>
        <v>904.73392350000006</v>
      </c>
      <c r="W96" s="23">
        <f t="shared" si="180"/>
        <v>695.5842038236309</v>
      </c>
      <c r="X96" s="23">
        <f t="shared" si="180"/>
        <v>946.8735809665427</v>
      </c>
      <c r="Y96" s="23">
        <f t="shared" si="180"/>
        <v>1026.7928268236308</v>
      </c>
      <c r="Z96" s="23">
        <f t="shared" si="180"/>
        <v>962.73392350000006</v>
      </c>
      <c r="AA96" s="23">
        <f t="shared" si="180"/>
        <v>1020.6277049157063</v>
      </c>
      <c r="AB96" s="23">
        <f t="shared" si="180"/>
        <v>645.91908191570622</v>
      </c>
      <c r="AC96" s="23">
        <f t="shared" si="180"/>
        <v>836.27992089531836</v>
      </c>
      <c r="AD96" s="23">
        <f t="shared" si="180"/>
        <v>868.18202189237445</v>
      </c>
      <c r="AE96" s="23">
        <f t="shared" si="180"/>
        <v>766.73081150000007</v>
      </c>
      <c r="AF96" s="23">
        <f t="shared" si="180"/>
        <v>820.42137046359892</v>
      </c>
      <c r="AG96" s="23">
        <f t="shared" si="180"/>
        <v>700.36873543768877</v>
      </c>
      <c r="AH96" s="23">
        <f t="shared" si="180"/>
        <v>890.5787497642217</v>
      </c>
      <c r="AI96" s="23">
        <f t="shared" si="180"/>
        <v>825.1719998085988</v>
      </c>
      <c r="AJ96" s="23">
        <f t="shared" si="180"/>
        <v>662.06705896359881</v>
      </c>
      <c r="AK96" s="23">
        <f t="shared" si="180"/>
        <v>635.56400000000008</v>
      </c>
      <c r="AL96" s="23">
        <f t="shared" si="180"/>
        <v>614.79508094296864</v>
      </c>
      <c r="AM96" s="84"/>
      <c r="AN96" s="23">
        <f t="shared" si="180"/>
        <v>1514.3225499065675</v>
      </c>
      <c r="AO96" s="23">
        <f t="shared" si="180"/>
        <v>1808.6575</v>
      </c>
      <c r="AP96" s="23">
        <f t="shared" si="180"/>
        <v>1108.2276662207498</v>
      </c>
      <c r="AQ96" s="23">
        <f t="shared" si="180"/>
        <v>630.16495796654272</v>
      </c>
      <c r="AR96" s="23">
        <f t="shared" si="180"/>
        <v>1334.9961030265708</v>
      </c>
      <c r="AS96" s="23">
        <f t="shared" si="180"/>
        <v>498.96368651249992</v>
      </c>
      <c r="AT96" s="84"/>
      <c r="AU96" s="23">
        <f t="shared" si="180"/>
        <v>1218.1902584665429</v>
      </c>
      <c r="AV96" s="23">
        <f t="shared" si="180"/>
        <v>943.93550000000005</v>
      </c>
      <c r="AW96" s="23">
        <f t="shared" si="180"/>
        <v>645.91908191570622</v>
      </c>
      <c r="AX96" s="23">
        <f t="shared" si="180"/>
        <v>945.24743694981407</v>
      </c>
      <c r="AY96" s="23">
        <f t="shared" si="180"/>
        <v>709.42700000000002</v>
      </c>
      <c r="AZ96" s="23">
        <f t="shared" si="180"/>
        <v>1260.3299159330854</v>
      </c>
      <c r="BA96" s="23">
        <f t="shared" si="180"/>
        <v>943.9426214144529</v>
      </c>
      <c r="BB96" s="23">
        <f t="shared" si="180"/>
        <v>1202.8203814429685</v>
      </c>
      <c r="BC96" s="84"/>
      <c r="BD96" s="61">
        <f>SUM('AC-SVC'!C96)*BD$7</f>
        <v>0</v>
      </c>
      <c r="BE96" s="61">
        <f>SUM('AC-SVC'!D96)</f>
        <v>807.34550000000002</v>
      </c>
      <c r="BF96" s="61">
        <f>SUM('AC-SVC'!G96)</f>
        <v>313.71504637275007</v>
      </c>
      <c r="BG96" s="61">
        <f>SUM('AC-SVC'!J96)</f>
        <v>760.56850000000009</v>
      </c>
      <c r="BH96" s="61">
        <f>SUM('AC-SVC'!M96)</f>
        <v>545.09945356350011</v>
      </c>
      <c r="BI96" s="61">
        <f>SUM('AC-SVC'!P96)*BI$7</f>
        <v>0</v>
      </c>
      <c r="BJ96" s="61">
        <f>SUM(PT!C96)</f>
        <v>413.72937000000002</v>
      </c>
      <c r="BK96" s="61">
        <f>SUM(CCLC!C96)</f>
        <v>0</v>
      </c>
      <c r="BL96" s="61">
        <f>SUM(FC!D96)</f>
        <v>2251.1685000000002</v>
      </c>
      <c r="BM96" s="61">
        <f>SUM(FN!F96)*BM$7</f>
        <v>0</v>
      </c>
      <c r="BN96" s="61">
        <f>SUM(FS!D96)</f>
        <v>1413.8130768886251</v>
      </c>
      <c r="BO96" s="61">
        <f>SUM(IT!D96)</f>
        <v>0</v>
      </c>
      <c r="BP96" s="84"/>
      <c r="BQ96" s="62">
        <f t="shared" si="176"/>
        <v>50646.463030883941</v>
      </c>
      <c r="BS96" s="95">
        <f>SUM(Sheet1!C96)</f>
        <v>0</v>
      </c>
      <c r="BT96" s="288">
        <f>BQ96</f>
        <v>50646.463030883941</v>
      </c>
    </row>
    <row r="97" spans="1:72" ht="12">
      <c r="A97" s="31" t="s">
        <v>31</v>
      </c>
      <c r="B97" s="31" t="s">
        <v>32</v>
      </c>
      <c r="C97" s="23"/>
      <c r="D97" s="23">
        <f>(+D$88-D$84+D$80)*0.06</f>
        <v>17671.022623669509</v>
      </c>
      <c r="E97" s="157">
        <f t="shared" si="174"/>
        <v>115351.74614163753</v>
      </c>
      <c r="F97" s="23">
        <f>(+F$88-F$84+F$80)*0.06</f>
        <v>32564.740121886498</v>
      </c>
      <c r="G97" s="23">
        <f>(+G$88-G$84+G$80)*0.06</f>
        <v>10092.042495119844</v>
      </c>
      <c r="H97" s="23">
        <f>(+H$88-H$84+H$80)*0.06</f>
        <v>6972.96</v>
      </c>
      <c r="I97" s="167"/>
      <c r="J97" s="23">
        <f t="shared" ref="J97:AD97" si="181">(+J$88-J$84+J$80)*0.06</f>
        <v>5257.3483711398903</v>
      </c>
      <c r="K97" s="23">
        <f t="shared" si="181"/>
        <v>4292.606620848368</v>
      </c>
      <c r="L97" s="23">
        <f t="shared" si="181"/>
        <v>4227.2539932</v>
      </c>
      <c r="M97" s="23">
        <f t="shared" si="181"/>
        <v>3893.8136384812487</v>
      </c>
      <c r="N97" s="84"/>
      <c r="O97" s="23">
        <f t="shared" si="181"/>
        <v>4186.8291877973597</v>
      </c>
      <c r="P97" s="23">
        <f t="shared" si="181"/>
        <v>4526.9159684923488</v>
      </c>
      <c r="Q97" s="23">
        <f t="shared" si="181"/>
        <v>4382.6026080236115</v>
      </c>
      <c r="R97" s="23">
        <f t="shared" si="181"/>
        <v>3774.4939931999997</v>
      </c>
      <c r="S97" s="23">
        <f t="shared" si="181"/>
        <v>3893.8136384812487</v>
      </c>
      <c r="T97" s="23">
        <f t="shared" si="181"/>
        <v>4399.7133810929736</v>
      </c>
      <c r="U97" s="23">
        <f t="shared" si="181"/>
        <v>4454.5878800816581</v>
      </c>
      <c r="V97" s="23">
        <f t="shared" si="181"/>
        <v>3743.72658</v>
      </c>
      <c r="W97" s="23">
        <f t="shared" si="181"/>
        <v>2878.2794640977831</v>
      </c>
      <c r="X97" s="23">
        <f t="shared" si="181"/>
        <v>3918.0975764132795</v>
      </c>
      <c r="Y97" s="23">
        <f t="shared" si="181"/>
        <v>4248.7979040977825</v>
      </c>
      <c r="Z97" s="23">
        <f t="shared" si="181"/>
        <v>3983.72658</v>
      </c>
      <c r="AA97" s="23">
        <f t="shared" si="181"/>
        <v>4223.2870548236115</v>
      </c>
      <c r="AB97" s="23">
        <f t="shared" si="181"/>
        <v>2672.7686148236116</v>
      </c>
      <c r="AC97" s="23">
        <f t="shared" si="181"/>
        <v>3460.468638187524</v>
      </c>
      <c r="AD97" s="23">
        <f t="shared" si="181"/>
        <v>3592.4773319684459</v>
      </c>
      <c r="AE97" s="23">
        <f t="shared" ref="AE97:BB97" si="182">(+AE$88-AE$84+AE$80)*0.06</f>
        <v>3172.67922</v>
      </c>
      <c r="AF97" s="23">
        <f t="shared" si="182"/>
        <v>3394.847050194202</v>
      </c>
      <c r="AG97" s="23">
        <f t="shared" si="182"/>
        <v>2898.0775259490565</v>
      </c>
      <c r="AH97" s="23">
        <f t="shared" si="182"/>
        <v>3685.1534473002271</v>
      </c>
      <c r="AI97" s="23">
        <f t="shared" si="182"/>
        <v>3414.5048267942016</v>
      </c>
      <c r="AJ97" s="23">
        <f t="shared" si="182"/>
        <v>2739.5878301942021</v>
      </c>
      <c r="AK97" s="23">
        <f t="shared" si="182"/>
        <v>2629.92</v>
      </c>
      <c r="AL97" s="23">
        <f t="shared" si="182"/>
        <v>2543.9796452812493</v>
      </c>
      <c r="AM97" s="84"/>
      <c r="AN97" s="23">
        <f t="shared" si="182"/>
        <v>6266.1622754754508</v>
      </c>
      <c r="AO97" s="23">
        <f t="shared" si="182"/>
        <v>7484.0999999999995</v>
      </c>
      <c r="AP97" s="23">
        <f t="shared" si="182"/>
        <v>4585.7696533272401</v>
      </c>
      <c r="AQ97" s="23">
        <f t="shared" si="182"/>
        <v>2607.5791364132801</v>
      </c>
      <c r="AR97" s="23">
        <f t="shared" si="182"/>
        <v>5524.1218056271891</v>
      </c>
      <c r="AS97" s="23">
        <f t="shared" si="182"/>
        <v>2064.6773234999996</v>
      </c>
      <c r="AT97" s="84"/>
      <c r="AU97" s="23">
        <f t="shared" si="182"/>
        <v>5040.7872764132799</v>
      </c>
      <c r="AV97" s="23">
        <f t="shared" si="182"/>
        <v>3905.94</v>
      </c>
      <c r="AW97" s="23">
        <f t="shared" si="182"/>
        <v>2672.7686148236116</v>
      </c>
      <c r="AX97" s="23">
        <f t="shared" si="182"/>
        <v>3911.3687046199198</v>
      </c>
      <c r="AY97" s="23">
        <f t="shared" si="182"/>
        <v>2935.56</v>
      </c>
      <c r="AZ97" s="23">
        <f t="shared" si="182"/>
        <v>5215.1582728265603</v>
      </c>
      <c r="BA97" s="23">
        <f t="shared" si="182"/>
        <v>3905.9694679218737</v>
      </c>
      <c r="BB97" s="23">
        <f t="shared" si="182"/>
        <v>4977.1877852812486</v>
      </c>
      <c r="BC97" s="84"/>
      <c r="BD97" s="61">
        <f>SUM('AC-SVC'!C97)*BD$7</f>
        <v>0</v>
      </c>
      <c r="BE97" s="61">
        <f>SUM('AC-SVC'!D97)</f>
        <v>3340.74</v>
      </c>
      <c r="BF97" s="61">
        <f>SUM('AC-SVC'!G97)</f>
        <v>843.78529714050012</v>
      </c>
      <c r="BG97" s="61">
        <f>SUM('AC-SVC'!J97)</f>
        <v>2045.6669999999999</v>
      </c>
      <c r="BH97" s="61">
        <f>SUM('AC-SVC'!M97)</f>
        <v>1466.1295647570003</v>
      </c>
      <c r="BI97" s="61">
        <f>SUM('AC-SVC'!P97)*BI$7</f>
        <v>0</v>
      </c>
      <c r="BJ97" s="61">
        <f>SUM(PT!C97)</f>
        <v>855.99180000000001</v>
      </c>
      <c r="BK97" s="61">
        <f>SUM(CCLC!C97)</f>
        <v>0</v>
      </c>
      <c r="BL97" s="61">
        <f>SUM(FC!D97)</f>
        <v>9315.18</v>
      </c>
      <c r="BM97" s="61">
        <f>SUM(FN!F97)*BM$7</f>
        <v>0</v>
      </c>
      <c r="BN97" s="61">
        <f>SUM(FS!D97)</f>
        <v>5850.2610078150001</v>
      </c>
      <c r="BO97" s="61">
        <f>SUM(IT!D97)</f>
        <v>0</v>
      </c>
      <c r="BP97" s="84"/>
      <c r="BQ97" s="62">
        <f t="shared" si="176"/>
        <v>206370.26605202587</v>
      </c>
      <c r="BS97" s="95">
        <f>SUM(Sheet1!C97)</f>
        <v>111778.44</v>
      </c>
      <c r="BT97" s="288">
        <f>BT90*0.06</f>
        <v>214508.65381747117</v>
      </c>
    </row>
    <row r="98" spans="1:72" ht="12">
      <c r="A98" s="31" t="s">
        <v>36</v>
      </c>
      <c r="B98" s="31" t="s">
        <v>35</v>
      </c>
      <c r="C98" s="23"/>
      <c r="D98" s="23">
        <f>(+D$88-D$84+D$80)*0.0056</f>
        <v>1649.295444875821</v>
      </c>
      <c r="E98" s="157">
        <f t="shared" si="174"/>
        <v>10766.162973219502</v>
      </c>
      <c r="F98" s="23">
        <f>(+F$88-F$84+F$80)*0.0056</f>
        <v>3039.3757447094063</v>
      </c>
      <c r="G98" s="23">
        <f>(+G$88-G$84+G$80)*0.0056</f>
        <v>941.92396621118542</v>
      </c>
      <c r="H98" s="23">
        <f>(+H$88-H$84+H$80)*0.0056</f>
        <v>650.80960000000005</v>
      </c>
      <c r="I98" s="167"/>
      <c r="J98" s="23">
        <f t="shared" ref="J98:BB98" si="183">(+J$88-J$84+J$80)*0.0056</f>
        <v>490.68584797305647</v>
      </c>
      <c r="K98" s="23">
        <f t="shared" si="183"/>
        <v>400.64328461251432</v>
      </c>
      <c r="L98" s="23">
        <f t="shared" si="183"/>
        <v>394.54370603199999</v>
      </c>
      <c r="M98" s="23">
        <f t="shared" si="183"/>
        <v>363.42260625824991</v>
      </c>
      <c r="N98" s="84"/>
      <c r="O98" s="23">
        <f t="shared" si="183"/>
        <v>390.77072419442027</v>
      </c>
      <c r="P98" s="23">
        <f t="shared" si="183"/>
        <v>422.51215705928587</v>
      </c>
      <c r="Q98" s="23">
        <f t="shared" si="183"/>
        <v>409.04291008220372</v>
      </c>
      <c r="R98" s="23">
        <f t="shared" si="183"/>
        <v>352.28610603199996</v>
      </c>
      <c r="S98" s="23">
        <f t="shared" si="183"/>
        <v>363.42260625824991</v>
      </c>
      <c r="T98" s="23">
        <f t="shared" si="183"/>
        <v>410.63991556867751</v>
      </c>
      <c r="U98" s="23">
        <f t="shared" si="183"/>
        <v>415.76153547428811</v>
      </c>
      <c r="V98" s="23">
        <f t="shared" si="183"/>
        <v>349.41448079999998</v>
      </c>
      <c r="W98" s="23">
        <f t="shared" si="183"/>
        <v>268.63941664912642</v>
      </c>
      <c r="X98" s="23">
        <f t="shared" si="183"/>
        <v>365.6891071319061</v>
      </c>
      <c r="Y98" s="23">
        <f t="shared" si="183"/>
        <v>396.55447104912639</v>
      </c>
      <c r="Z98" s="23">
        <f t="shared" si="183"/>
        <v>371.81448080000001</v>
      </c>
      <c r="AA98" s="23">
        <f t="shared" si="183"/>
        <v>394.17345845020378</v>
      </c>
      <c r="AB98" s="23">
        <f t="shared" si="183"/>
        <v>249.45840405020377</v>
      </c>
      <c r="AC98" s="23">
        <f t="shared" si="183"/>
        <v>322.97707289750224</v>
      </c>
      <c r="AD98" s="23">
        <f t="shared" si="183"/>
        <v>335.29788431705498</v>
      </c>
      <c r="AE98" s="23">
        <f t="shared" si="183"/>
        <v>296.11672720000001</v>
      </c>
      <c r="AF98" s="23">
        <f t="shared" si="183"/>
        <v>316.85239135145883</v>
      </c>
      <c r="AG98" s="23">
        <f t="shared" si="183"/>
        <v>270.48723575524531</v>
      </c>
      <c r="AH98" s="23">
        <f t="shared" si="183"/>
        <v>343.94765508135458</v>
      </c>
      <c r="AI98" s="23">
        <f t="shared" si="183"/>
        <v>318.68711716745884</v>
      </c>
      <c r="AJ98" s="23">
        <f t="shared" si="183"/>
        <v>255.69486415145886</v>
      </c>
      <c r="AK98" s="23">
        <f t="shared" si="183"/>
        <v>245.45920000000001</v>
      </c>
      <c r="AL98" s="23">
        <f t="shared" si="183"/>
        <v>237.43810022624993</v>
      </c>
      <c r="AM98" s="84"/>
      <c r="AN98" s="23">
        <f t="shared" si="183"/>
        <v>584.84181237770883</v>
      </c>
      <c r="AO98" s="23">
        <f t="shared" si="183"/>
        <v>698.51599999999996</v>
      </c>
      <c r="AP98" s="23">
        <f t="shared" si="183"/>
        <v>428.00516764387578</v>
      </c>
      <c r="AQ98" s="23">
        <f t="shared" si="183"/>
        <v>243.37405273190615</v>
      </c>
      <c r="AR98" s="23">
        <f t="shared" si="183"/>
        <v>515.58470185853764</v>
      </c>
      <c r="AS98" s="23">
        <f t="shared" si="183"/>
        <v>192.70321685999994</v>
      </c>
      <c r="AT98" s="84"/>
      <c r="AU98" s="23">
        <f t="shared" si="183"/>
        <v>470.47347913190617</v>
      </c>
      <c r="AV98" s="23">
        <f t="shared" si="183"/>
        <v>364.55439999999999</v>
      </c>
      <c r="AW98" s="23">
        <f t="shared" si="183"/>
        <v>249.45840405020377</v>
      </c>
      <c r="AX98" s="23">
        <f t="shared" si="183"/>
        <v>365.06107909785919</v>
      </c>
      <c r="AY98" s="23">
        <f t="shared" si="183"/>
        <v>273.98559999999998</v>
      </c>
      <c r="AZ98" s="23">
        <f t="shared" si="183"/>
        <v>486.74810546381229</v>
      </c>
      <c r="BA98" s="23">
        <f t="shared" si="183"/>
        <v>364.55715033937491</v>
      </c>
      <c r="BB98" s="23">
        <f t="shared" si="183"/>
        <v>464.53752662624993</v>
      </c>
      <c r="BC98" s="84"/>
      <c r="BD98" s="61">
        <f>SUM('AC-SVC'!C98)*BD$7</f>
        <v>0</v>
      </c>
      <c r="BE98" s="61">
        <f>SUM('AC-SVC'!D98)</f>
        <v>311.80239999999998</v>
      </c>
      <c r="BF98" s="61">
        <f>SUM('AC-SVC'!G98)</f>
        <v>121.15891446120001</v>
      </c>
      <c r="BG98" s="61">
        <f>SUM('AC-SVC'!J98)</f>
        <v>293.73680000000002</v>
      </c>
      <c r="BH98" s="61">
        <f>SUM('AC-SVC'!M98)</f>
        <v>210.52116827280003</v>
      </c>
      <c r="BI98" s="61">
        <f>SUM('AC-SVC'!P98)*BI$7</f>
        <v>0</v>
      </c>
      <c r="BJ98" s="61">
        <f>SUM(PT!C98)</f>
        <v>159.78513599999999</v>
      </c>
      <c r="BK98" s="61">
        <f>SUM(CCLC!C98)</f>
        <v>0</v>
      </c>
      <c r="BL98" s="61">
        <f>SUM(FC!D98)</f>
        <v>869.41679999999997</v>
      </c>
      <c r="BM98" s="61">
        <f>SUM(FN!F98)*BM$7</f>
        <v>0</v>
      </c>
      <c r="BN98" s="61">
        <f>SUM(FS!D98)</f>
        <v>546.02436072940009</v>
      </c>
      <c r="BO98" s="61">
        <f>SUM(IT!D98)</f>
        <v>0</v>
      </c>
      <c r="BP98" s="84"/>
      <c r="BQ98" s="62">
        <f t="shared" si="176"/>
        <v>19560.013308479316</v>
      </c>
      <c r="BS98" s="95">
        <f>SUM(Sheet1!C98)</f>
        <v>29026.86</v>
      </c>
      <c r="BT98" s="288">
        <f>SUM(Sheet1!I98)</f>
        <v>27702.472452830189</v>
      </c>
    </row>
    <row r="99" spans="1:72" ht="12">
      <c r="A99" s="31" t="s">
        <v>38</v>
      </c>
      <c r="B99" s="31" t="s">
        <v>37</v>
      </c>
      <c r="C99" s="23"/>
      <c r="D99" s="23">
        <f>+D$7*7700*0.0201</f>
        <v>1238.1600000000001</v>
      </c>
      <c r="E99" s="157">
        <f t="shared" si="174"/>
        <v>7815.8850000000039</v>
      </c>
      <c r="F99" s="23">
        <f>+F$7*7700*0.0201</f>
        <v>1934.625</v>
      </c>
      <c r="G99" s="23">
        <f>+G$7*7700*0.0201</f>
        <v>541.69500000000005</v>
      </c>
      <c r="H99" s="23">
        <f>+H$7*7700*0.0201</f>
        <v>309.54000000000002</v>
      </c>
      <c r="I99" s="167"/>
      <c r="J99" s="23">
        <f t="shared" ref="J99:BB99" si="184">+J$7*7700*0.0201</f>
        <v>309.54000000000002</v>
      </c>
      <c r="K99" s="23">
        <f t="shared" si="184"/>
        <v>309.54000000000002</v>
      </c>
      <c r="L99" s="23">
        <f t="shared" si="184"/>
        <v>309.54000000000002</v>
      </c>
      <c r="M99" s="23">
        <f t="shared" si="184"/>
        <v>309.54000000000002</v>
      </c>
      <c r="N99" s="84"/>
      <c r="O99" s="23">
        <f t="shared" si="184"/>
        <v>309.54000000000002</v>
      </c>
      <c r="P99" s="23">
        <f t="shared" si="184"/>
        <v>309.54000000000002</v>
      </c>
      <c r="Q99" s="23">
        <f t="shared" si="184"/>
        <v>309.54000000000002</v>
      </c>
      <c r="R99" s="23">
        <f t="shared" si="184"/>
        <v>309.54000000000002</v>
      </c>
      <c r="S99" s="23">
        <f t="shared" si="184"/>
        <v>309.54000000000002</v>
      </c>
      <c r="T99" s="23">
        <f t="shared" si="184"/>
        <v>309.54000000000002</v>
      </c>
      <c r="U99" s="23">
        <f t="shared" si="184"/>
        <v>309.54000000000002</v>
      </c>
      <c r="V99" s="23">
        <f t="shared" si="184"/>
        <v>309.54000000000002</v>
      </c>
      <c r="W99" s="23">
        <f t="shared" si="184"/>
        <v>154.77000000000001</v>
      </c>
      <c r="X99" s="23">
        <f t="shared" si="184"/>
        <v>309.54000000000002</v>
      </c>
      <c r="Y99" s="23">
        <f t="shared" si="184"/>
        <v>309.54000000000002</v>
      </c>
      <c r="Z99" s="23">
        <f t="shared" si="184"/>
        <v>309.54000000000002</v>
      </c>
      <c r="AA99" s="23">
        <f t="shared" si="184"/>
        <v>309.54000000000002</v>
      </c>
      <c r="AB99" s="23">
        <f t="shared" si="184"/>
        <v>154.77000000000001</v>
      </c>
      <c r="AC99" s="23">
        <f t="shared" si="184"/>
        <v>232.155</v>
      </c>
      <c r="AD99" s="23">
        <f t="shared" si="184"/>
        <v>232.155</v>
      </c>
      <c r="AE99" s="23">
        <f t="shared" si="184"/>
        <v>232.155</v>
      </c>
      <c r="AF99" s="23">
        <f t="shared" si="184"/>
        <v>232.155</v>
      </c>
      <c r="AG99" s="23">
        <f t="shared" si="184"/>
        <v>154.77000000000001</v>
      </c>
      <c r="AH99" s="23">
        <f t="shared" si="184"/>
        <v>154.77000000000001</v>
      </c>
      <c r="AI99" s="23">
        <f t="shared" si="184"/>
        <v>154.77000000000001</v>
      </c>
      <c r="AJ99" s="23">
        <f t="shared" si="184"/>
        <v>154.77000000000001</v>
      </c>
      <c r="AK99" s="23">
        <f t="shared" si="184"/>
        <v>154.77000000000001</v>
      </c>
      <c r="AL99" s="23">
        <f t="shared" si="184"/>
        <v>154.77000000000001</v>
      </c>
      <c r="AM99" s="84"/>
      <c r="AN99" s="23">
        <f t="shared" si="184"/>
        <v>386.92500000000001</v>
      </c>
      <c r="AO99" s="23">
        <f t="shared" si="184"/>
        <v>464.31</v>
      </c>
      <c r="AP99" s="23">
        <f t="shared" si="184"/>
        <v>309.54000000000002</v>
      </c>
      <c r="AQ99" s="23">
        <f t="shared" si="184"/>
        <v>154.77000000000001</v>
      </c>
      <c r="AR99" s="23">
        <f t="shared" si="184"/>
        <v>464.31</v>
      </c>
      <c r="AS99" s="23">
        <f t="shared" si="184"/>
        <v>154.77000000000001</v>
      </c>
      <c r="AT99" s="84"/>
      <c r="AU99" s="23">
        <f t="shared" si="184"/>
        <v>309.54000000000002</v>
      </c>
      <c r="AV99" s="23">
        <f t="shared" si="184"/>
        <v>232.155</v>
      </c>
      <c r="AW99" s="23">
        <f t="shared" si="184"/>
        <v>154.77000000000001</v>
      </c>
      <c r="AX99" s="23">
        <f t="shared" si="184"/>
        <v>232.155</v>
      </c>
      <c r="AY99" s="23">
        <f t="shared" si="184"/>
        <v>154.77000000000001</v>
      </c>
      <c r="AZ99" s="23">
        <f t="shared" si="184"/>
        <v>309.54000000000002</v>
      </c>
      <c r="BA99" s="23">
        <f t="shared" si="184"/>
        <v>232.155</v>
      </c>
      <c r="BB99" s="23">
        <f t="shared" si="184"/>
        <v>309.54000000000002</v>
      </c>
      <c r="BC99" s="84"/>
      <c r="BD99" s="61">
        <f>SUM('AC-SVC'!C99)*BD$7</f>
        <v>0</v>
      </c>
      <c r="BE99" s="61">
        <f>SUM('AC-SVC'!D99)</f>
        <v>154.77000000000001</v>
      </c>
      <c r="BF99" s="61">
        <f>SUM('AC-SVC'!G99)</f>
        <v>69.646500000000003</v>
      </c>
      <c r="BG99" s="61">
        <f>SUM('AC-SVC'!J99)</f>
        <v>154.77000000000001</v>
      </c>
      <c r="BH99" s="61">
        <f>SUM('AC-SVC'!M99)</f>
        <v>139.29300000000001</v>
      </c>
      <c r="BI99" s="61">
        <f>SUM('AC-SVC'!P99)*BI$7</f>
        <v>0</v>
      </c>
      <c r="BJ99" s="61">
        <f>SUM(PT!C99)</f>
        <v>464.31</v>
      </c>
      <c r="BK99" s="61">
        <f>SUM(CCLC!C99)</f>
        <v>0</v>
      </c>
      <c r="BL99" s="61">
        <f>SUM(FC!D99)</f>
        <v>928.62</v>
      </c>
      <c r="BM99" s="61">
        <f>SUM(FN!F99)*BM$7</f>
        <v>0</v>
      </c>
      <c r="BN99" s="61">
        <f>SUM(FS!D99)</f>
        <v>619.08000000000004</v>
      </c>
      <c r="BO99" s="61">
        <f>SUM(IT!D99)</f>
        <v>0</v>
      </c>
      <c r="BP99" s="84"/>
      <c r="BQ99" s="62">
        <f t="shared" si="176"/>
        <v>14370.394500000004</v>
      </c>
      <c r="BS99" s="95">
        <f>SUM(Sheet1!C99)</f>
        <v>22860.99</v>
      </c>
      <c r="BT99" s="288">
        <f>SUM(Sheet1!I99)</f>
        <v>26886.798490566038</v>
      </c>
    </row>
    <row r="100" spans="1:72" ht="12">
      <c r="A100" s="31" t="s">
        <v>83</v>
      </c>
      <c r="B100" s="31" t="s">
        <v>84</v>
      </c>
      <c r="C100" s="23">
        <v>5000</v>
      </c>
      <c r="D100" s="23">
        <f>SUM(J100:M100)</f>
        <v>0</v>
      </c>
      <c r="E100" s="157">
        <f t="shared" si="174"/>
        <v>0</v>
      </c>
      <c r="F100" s="23">
        <f>SUM(AU100:BB100)</f>
        <v>0</v>
      </c>
      <c r="G100" s="23"/>
      <c r="H100" s="23"/>
      <c r="I100" s="167"/>
      <c r="J100" s="23"/>
      <c r="K100" s="23"/>
      <c r="L100" s="23"/>
      <c r="M100" s="23"/>
      <c r="N100" s="84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84"/>
      <c r="AN100" s="23"/>
      <c r="AO100" s="23"/>
      <c r="AP100" s="23"/>
      <c r="AQ100" s="23"/>
      <c r="AR100" s="23"/>
      <c r="AS100" s="23"/>
      <c r="AT100" s="84"/>
      <c r="AU100" s="23"/>
      <c r="AV100" s="23"/>
      <c r="AW100" s="23"/>
      <c r="AX100" s="23"/>
      <c r="AY100" s="23"/>
      <c r="AZ100" s="23"/>
      <c r="BA100" s="23"/>
      <c r="BB100" s="23"/>
      <c r="BC100" s="84"/>
      <c r="BD100" s="61">
        <f>SUM('AC-SVC'!C100)*BD$7</f>
        <v>0</v>
      </c>
      <c r="BE100" s="61">
        <f>SUM('AC-SVC'!D100)</f>
        <v>0</v>
      </c>
      <c r="BF100" s="61">
        <f>SUM('AC-SVC'!G100)</f>
        <v>0</v>
      </c>
      <c r="BG100" s="61">
        <f>SUM('AC-SVC'!J100)</f>
        <v>0</v>
      </c>
      <c r="BH100" s="61">
        <f>SUM('AC-SVC'!M100)</f>
        <v>0</v>
      </c>
      <c r="BI100" s="61">
        <f>SUM('AC-SVC'!P100)*BI$7</f>
        <v>0</v>
      </c>
      <c r="BJ100" s="61">
        <f>SUM(PT!C100)</f>
        <v>0</v>
      </c>
      <c r="BK100" s="61">
        <f>SUM(CCLC!C100)</f>
        <v>0</v>
      </c>
      <c r="BL100" s="61">
        <f>SUM(FC!D100)</f>
        <v>0</v>
      </c>
      <c r="BM100" s="61">
        <f>SUM(FN!F100)*BM$7</f>
        <v>0</v>
      </c>
      <c r="BN100" s="61">
        <f>SUM(FS!D100)</f>
        <v>0</v>
      </c>
      <c r="BO100" s="61">
        <f>SUM(IT!D100)</f>
        <v>0</v>
      </c>
      <c r="BP100" s="84"/>
      <c r="BQ100" s="62">
        <f t="shared" si="176"/>
        <v>5000</v>
      </c>
      <c r="BS100" s="95">
        <f>SUM(Sheet1!C100)</f>
        <v>4747.5</v>
      </c>
      <c r="BT100" s="288">
        <f>SUM(Sheet1!I100)</f>
        <v>3609.0566037735853</v>
      </c>
    </row>
    <row r="101" spans="1:72" ht="12">
      <c r="A101" s="31" t="s">
        <v>39</v>
      </c>
      <c r="B101" s="31" t="s">
        <v>40</v>
      </c>
      <c r="C101" s="169"/>
      <c r="D101" s="169">
        <f>(+D$88-D$84+D$80)*(0.0024+0.0036+0.0013)</f>
        <v>2149.9744192131238</v>
      </c>
      <c r="E101" s="169">
        <f t="shared" si="174"/>
        <v>14034.46244723257</v>
      </c>
      <c r="F101" s="169">
        <f>(+F$88-F$84+F$80)*(0.0024+0.0036+0.0013)</f>
        <v>3962.0433814961907</v>
      </c>
      <c r="G101" s="169">
        <f>(+G$88-G$84+G$80)*(0.0024+0.0036+0.0013)</f>
        <v>1227.8651702395809</v>
      </c>
      <c r="H101" s="169">
        <f>(+H$88-H$84+H$80)*(0.0024+0.0036+0.0013)</f>
        <v>848.3768</v>
      </c>
      <c r="I101" s="167"/>
      <c r="J101" s="169">
        <f t="shared" ref="J101:BB101" si="185">(+J$88-J$84+J$80)*(0.0024+0.0036+0.0013)</f>
        <v>639.64405182202006</v>
      </c>
      <c r="K101" s="169">
        <f t="shared" si="185"/>
        <v>522.26713886988477</v>
      </c>
      <c r="L101" s="169">
        <f t="shared" si="185"/>
        <v>514.31590250599993</v>
      </c>
      <c r="M101" s="169">
        <f t="shared" si="185"/>
        <v>473.74732601521862</v>
      </c>
      <c r="N101" s="173"/>
      <c r="O101" s="169">
        <f t="shared" si="185"/>
        <v>509.39755118201214</v>
      </c>
      <c r="P101" s="169">
        <f t="shared" si="185"/>
        <v>550.77477616656904</v>
      </c>
      <c r="Q101" s="169">
        <f t="shared" si="185"/>
        <v>533.21665064287276</v>
      </c>
      <c r="R101" s="169">
        <f t="shared" si="185"/>
        <v>459.23010250599998</v>
      </c>
      <c r="S101" s="169">
        <f t="shared" si="185"/>
        <v>473.74732601521862</v>
      </c>
      <c r="T101" s="169">
        <f t="shared" si="185"/>
        <v>535.29846136631181</v>
      </c>
      <c r="U101" s="169">
        <f t="shared" si="185"/>
        <v>541.97485874326844</v>
      </c>
      <c r="V101" s="169">
        <f t="shared" si="185"/>
        <v>455.48673389999999</v>
      </c>
      <c r="W101" s="169">
        <f t="shared" si="185"/>
        <v>350.19066813189693</v>
      </c>
      <c r="X101" s="169">
        <f t="shared" si="185"/>
        <v>476.70187179694904</v>
      </c>
      <c r="Y101" s="169">
        <f t="shared" si="185"/>
        <v>516.93707833189694</v>
      </c>
      <c r="Z101" s="169">
        <f t="shared" si="185"/>
        <v>484.68673389999998</v>
      </c>
      <c r="AA101" s="169">
        <f t="shared" si="185"/>
        <v>513.83325833687275</v>
      </c>
      <c r="AB101" s="169">
        <f t="shared" si="185"/>
        <v>325.18684813687275</v>
      </c>
      <c r="AC101" s="169">
        <f t="shared" si="185"/>
        <v>421.02368431281542</v>
      </c>
      <c r="AD101" s="169">
        <f t="shared" si="185"/>
        <v>437.08474205616091</v>
      </c>
      <c r="AE101" s="169">
        <f t="shared" si="185"/>
        <v>386.00930510000001</v>
      </c>
      <c r="AF101" s="169">
        <f t="shared" si="185"/>
        <v>413.03972444029461</v>
      </c>
      <c r="AG101" s="169">
        <f t="shared" si="185"/>
        <v>352.59943232380192</v>
      </c>
      <c r="AH101" s="169">
        <f t="shared" si="185"/>
        <v>448.36033608819434</v>
      </c>
      <c r="AI101" s="169">
        <f t="shared" si="185"/>
        <v>415.43142059329455</v>
      </c>
      <c r="AJ101" s="169">
        <f t="shared" si="185"/>
        <v>333.31651934029458</v>
      </c>
      <c r="AK101" s="169">
        <f t="shared" si="185"/>
        <v>319.97359999999998</v>
      </c>
      <c r="AL101" s="169">
        <f t="shared" si="185"/>
        <v>309.51752350921868</v>
      </c>
      <c r="AM101" s="173"/>
      <c r="AN101" s="169">
        <f t="shared" si="185"/>
        <v>762.38307684951326</v>
      </c>
      <c r="AO101" s="169">
        <f t="shared" si="185"/>
        <v>910.56550000000004</v>
      </c>
      <c r="AP101" s="169">
        <f t="shared" si="185"/>
        <v>557.93530782148093</v>
      </c>
      <c r="AQ101" s="169">
        <f t="shared" si="185"/>
        <v>317.25546159694909</v>
      </c>
      <c r="AR101" s="169">
        <f t="shared" si="185"/>
        <v>672.10148635130804</v>
      </c>
      <c r="AS101" s="169">
        <f t="shared" si="185"/>
        <v>251.20240769249995</v>
      </c>
      <c r="AT101" s="173"/>
      <c r="AU101" s="169">
        <f t="shared" si="185"/>
        <v>613.29578529694913</v>
      </c>
      <c r="AV101" s="169">
        <f t="shared" si="185"/>
        <v>475.22270000000003</v>
      </c>
      <c r="AW101" s="169">
        <f t="shared" si="185"/>
        <v>325.18684813687275</v>
      </c>
      <c r="AX101" s="169">
        <f t="shared" si="185"/>
        <v>475.88319239542358</v>
      </c>
      <c r="AY101" s="169">
        <f t="shared" si="185"/>
        <v>357.15980000000002</v>
      </c>
      <c r="AZ101" s="169">
        <f t="shared" si="185"/>
        <v>634.51092319389818</v>
      </c>
      <c r="BA101" s="169">
        <f t="shared" si="185"/>
        <v>475.226285263828</v>
      </c>
      <c r="BB101" s="169">
        <f t="shared" si="185"/>
        <v>605.55784720921861</v>
      </c>
      <c r="BC101" s="84"/>
      <c r="BD101" s="20">
        <f>SUM('AC-SVC'!C101)*BD$7</f>
        <v>0</v>
      </c>
      <c r="BE101" s="20">
        <f>SUM('AC-SVC'!D101)</f>
        <v>406.45670000000001</v>
      </c>
      <c r="BF101" s="20">
        <f>SUM('AC-SVC'!G101)</f>
        <v>157.93929920835004</v>
      </c>
      <c r="BG101" s="20">
        <f>SUM('AC-SVC'!J101)</f>
        <v>382.90690000000001</v>
      </c>
      <c r="BH101" s="20">
        <f>SUM('AC-SVC'!M101)</f>
        <v>274.42938006990005</v>
      </c>
      <c r="BI101" s="20">
        <f>SUM('AC-SVC'!P101)*BI$7</f>
        <v>0</v>
      </c>
      <c r="BJ101" s="20">
        <f>SUM(PT!C101)</f>
        <v>208.29133800000002</v>
      </c>
      <c r="BK101" s="20">
        <f>SUM(CCLC!C101)</f>
        <v>0</v>
      </c>
      <c r="BL101" s="20">
        <f>SUM(FC!D101)</f>
        <v>1133.3469</v>
      </c>
      <c r="BM101" s="20">
        <f>SUM(FN!F101)*BM$7</f>
        <v>0</v>
      </c>
      <c r="BN101" s="20">
        <f>SUM(FS!D101)</f>
        <v>711.78175595082507</v>
      </c>
      <c r="BO101" s="20">
        <f>SUM(IT!D101)</f>
        <v>0</v>
      </c>
      <c r="BP101" s="84"/>
      <c r="BQ101" s="63">
        <f t="shared" si="176"/>
        <v>25497.874491410541</v>
      </c>
      <c r="BS101" s="96">
        <f>SUM(Sheet1!C101)</f>
        <v>19558.88</v>
      </c>
      <c r="BT101" s="288">
        <f>BT90*0.00573</f>
        <v>20485.576439568496</v>
      </c>
    </row>
    <row r="102" spans="1:72" s="30" customFormat="1" ht="10">
      <c r="A102" s="31"/>
      <c r="B102" s="31" t="s">
        <v>234</v>
      </c>
      <c r="C102" s="49">
        <f t="shared" ref="C102:BB102" si="186">SUM(C93:C101)</f>
        <v>5000</v>
      </c>
      <c r="D102" s="49">
        <f t="shared" si="186"/>
        <v>75102.071932937077</v>
      </c>
      <c r="E102" s="49">
        <f t="shared" si="186"/>
        <v>483552.33449267747</v>
      </c>
      <c r="F102" s="49">
        <f t="shared" si="186"/>
        <v>129681.86790349739</v>
      </c>
      <c r="G102" s="49">
        <f t="shared" si="186"/>
        <v>38735.972012848411</v>
      </c>
      <c r="H102" s="49">
        <f t="shared" si="186"/>
        <v>25137.976800000004</v>
      </c>
      <c r="I102" s="170"/>
      <c r="J102" s="49">
        <f t="shared" si="186"/>
        <v>20866.103844138328</v>
      </c>
      <c r="K102" s="49">
        <f t="shared" si="186"/>
        <v>18463.896885912436</v>
      </c>
      <c r="L102" s="49">
        <f t="shared" si="186"/>
        <v>18301.168843068004</v>
      </c>
      <c r="M102" s="49">
        <f t="shared" si="186"/>
        <v>17470.902359818308</v>
      </c>
      <c r="N102" s="171"/>
      <c r="O102" s="49">
        <f t="shared" si="186"/>
        <v>18200.511077615429</v>
      </c>
      <c r="P102" s="49">
        <f t="shared" si="186"/>
        <v>19047.327161545953</v>
      </c>
      <c r="Q102" s="49">
        <f t="shared" si="186"/>
        <v>18687.986893978792</v>
      </c>
      <c r="R102" s="49">
        <f t="shared" si="186"/>
        <v>17173.796443068</v>
      </c>
      <c r="S102" s="49">
        <f t="shared" si="186"/>
        <v>17470.902359818308</v>
      </c>
      <c r="T102" s="49">
        <f t="shared" si="186"/>
        <v>18730.592718921504</v>
      </c>
      <c r="U102" s="49">
        <f t="shared" si="186"/>
        <v>18867.23022140333</v>
      </c>
      <c r="V102" s="49">
        <f t="shared" si="186"/>
        <v>17097.1855842</v>
      </c>
      <c r="W102" s="49">
        <f t="shared" si="186"/>
        <v>11054.569065603479</v>
      </c>
      <c r="X102" s="49">
        <f t="shared" si="186"/>
        <v>17531.369365269067</v>
      </c>
      <c r="Y102" s="49">
        <f t="shared" si="186"/>
        <v>18354.813181203477</v>
      </c>
      <c r="Z102" s="49">
        <f t="shared" si="186"/>
        <v>17694.785584199999</v>
      </c>
      <c r="AA102" s="49">
        <f t="shared" si="186"/>
        <v>18291.291166510793</v>
      </c>
      <c r="AB102" s="49">
        <f t="shared" si="186"/>
        <v>10542.847050910794</v>
      </c>
      <c r="AC102" s="49">
        <f t="shared" si="186"/>
        <v>14448.046709086933</v>
      </c>
      <c r="AD102" s="49">
        <f t="shared" si="186"/>
        <v>14776.748356601431</v>
      </c>
      <c r="AE102" s="49">
        <f t="shared" si="186"/>
        <v>13731.451057800001</v>
      </c>
      <c r="AF102" s="49">
        <f t="shared" si="186"/>
        <v>14284.648954983561</v>
      </c>
      <c r="AG102" s="49">
        <f t="shared" si="186"/>
        <v>11103.866239613151</v>
      </c>
      <c r="AH102" s="49">
        <f t="shared" si="186"/>
        <v>13063.685283777566</v>
      </c>
      <c r="AI102" s="49">
        <f t="shared" si="186"/>
        <v>12389.770218717564</v>
      </c>
      <c r="AJ102" s="49">
        <f t="shared" si="186"/>
        <v>10709.226897183566</v>
      </c>
      <c r="AK102" s="49">
        <f t="shared" si="186"/>
        <v>10436.153999999999</v>
      </c>
      <c r="AL102" s="49">
        <f t="shared" si="186"/>
        <v>10222.162516750312</v>
      </c>
      <c r="AM102" s="171"/>
      <c r="AN102" s="49">
        <f t="shared" si="186"/>
        <v>25321.87706593387</v>
      </c>
      <c r="AO102" s="49">
        <f t="shared" si="186"/>
        <v>30298.368599999998</v>
      </c>
      <c r="AP102" s="49">
        <f t="shared" si="186"/>
        <v>19193.872836784827</v>
      </c>
      <c r="AQ102" s="49">
        <f t="shared" si="186"/>
        <v>10380.525249669068</v>
      </c>
      <c r="AR102" s="49">
        <f t="shared" si="186"/>
        <v>25418.022896011702</v>
      </c>
      <c r="AS102" s="49">
        <f t="shared" si="186"/>
        <v>9028.6997355149979</v>
      </c>
      <c r="AT102" s="171"/>
      <c r="AU102" s="49">
        <f t="shared" si="186"/>
        <v>20326.866718269066</v>
      </c>
      <c r="AV102" s="49">
        <f t="shared" si="186"/>
        <v>15557.270400000001</v>
      </c>
      <c r="AW102" s="49">
        <f t="shared" si="186"/>
        <v>10542.847050910794</v>
      </c>
      <c r="AX102" s="49">
        <f t="shared" si="186"/>
        <v>15570.7878745036</v>
      </c>
      <c r="AY102" s="49">
        <f t="shared" si="186"/>
        <v>11197.1976</v>
      </c>
      <c r="AZ102" s="49">
        <f t="shared" si="186"/>
        <v>20761.050499338136</v>
      </c>
      <c r="BA102" s="49">
        <f t="shared" si="186"/>
        <v>15557.343775125468</v>
      </c>
      <c r="BB102" s="49">
        <f t="shared" si="186"/>
        <v>20168.503985350311</v>
      </c>
      <c r="BC102" s="171"/>
      <c r="BD102" s="41">
        <f t="shared" ref="BD102:BI102" si="187">+SUM(BD93:BD101)</f>
        <v>0</v>
      </c>
      <c r="BE102" s="49">
        <f t="shared" si="187"/>
        <v>12206.095800000001</v>
      </c>
      <c r="BF102" s="41">
        <f t="shared" si="187"/>
        <v>4495.6724172318009</v>
      </c>
      <c r="BG102" s="41">
        <f t="shared" si="187"/>
        <v>10552.013184000001</v>
      </c>
      <c r="BH102" s="41">
        <f t="shared" si="187"/>
        <v>8262.2928295692018</v>
      </c>
      <c r="BI102" s="41">
        <f t="shared" si="187"/>
        <v>0</v>
      </c>
      <c r="BJ102" s="41">
        <f t="shared" ref="BJ102:BO102" si="188">+SUM(BJ93:BJ101)</f>
        <v>3871.1573639999997</v>
      </c>
      <c r="BK102" s="41">
        <f t="shared" si="188"/>
        <v>0</v>
      </c>
      <c r="BL102" s="41">
        <f t="shared" si="188"/>
        <v>46520.717399999994</v>
      </c>
      <c r="BM102" s="41">
        <f t="shared" si="188"/>
        <v>0</v>
      </c>
      <c r="BN102" s="41">
        <f t="shared" si="188"/>
        <v>30117.762709459352</v>
      </c>
      <c r="BO102" s="41">
        <f t="shared" si="188"/>
        <v>0</v>
      </c>
      <c r="BP102" s="171"/>
      <c r="BQ102" s="49">
        <f>SUM(BQ93:BQ101)</f>
        <v>873235.93484622065</v>
      </c>
      <c r="BS102" s="94">
        <f>SUM(BS93:BS101)</f>
        <v>652025.15999999992</v>
      </c>
      <c r="BT102" s="293">
        <f>SUM(BT93:BT101)</f>
        <v>861840.76452517265</v>
      </c>
    </row>
    <row r="103" spans="1:72">
      <c r="C103" s="23"/>
      <c r="D103" s="23"/>
      <c r="E103" s="23"/>
      <c r="F103" s="23"/>
      <c r="G103" s="23"/>
      <c r="H103" s="23"/>
      <c r="I103" s="167"/>
      <c r="J103" s="23"/>
      <c r="K103" s="23"/>
      <c r="L103" s="23"/>
      <c r="M103" s="23"/>
      <c r="N103" s="84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84"/>
      <c r="AN103" s="23"/>
      <c r="AO103" s="23"/>
      <c r="AP103" s="23"/>
      <c r="AQ103" s="23"/>
      <c r="AR103" s="23"/>
      <c r="AS103" s="23"/>
      <c r="AT103" s="84"/>
      <c r="AU103" s="23"/>
      <c r="AV103" s="23"/>
      <c r="AW103" s="23"/>
      <c r="AX103" s="23"/>
      <c r="AY103" s="23"/>
      <c r="AZ103" s="23"/>
      <c r="BA103" s="23"/>
      <c r="BB103" s="23"/>
      <c r="BC103" s="84"/>
      <c r="BD103" s="21"/>
      <c r="BE103" s="23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84"/>
      <c r="BS103" s="94"/>
    </row>
    <row r="104" spans="1:72" s="30" customFormat="1" ht="12">
      <c r="A104" s="35"/>
      <c r="B104" s="35" t="s">
        <v>235</v>
      </c>
      <c r="C104" s="49">
        <f t="shared" ref="C104:BB104" si="189">SUM(C90+C102)</f>
        <v>5000</v>
      </c>
      <c r="D104" s="49">
        <f t="shared" si="189"/>
        <v>370739.11566076224</v>
      </c>
      <c r="E104" s="49">
        <f t="shared" si="189"/>
        <v>2424281.4368533026</v>
      </c>
      <c r="F104" s="49">
        <f t="shared" si="189"/>
        <v>680827.53660160571</v>
      </c>
      <c r="G104" s="49">
        <f t="shared" si="189"/>
        <v>206936.68026484581</v>
      </c>
      <c r="H104" s="49">
        <f t="shared" si="189"/>
        <v>141353.9768</v>
      </c>
      <c r="I104" s="170"/>
      <c r="J104" s="49">
        <f t="shared" si="189"/>
        <v>108768.57669646984</v>
      </c>
      <c r="K104" s="49">
        <f t="shared" si="189"/>
        <v>90287.340566718573</v>
      </c>
      <c r="L104" s="49">
        <f t="shared" si="189"/>
        <v>89035.402063068002</v>
      </c>
      <c r="M104" s="49">
        <f t="shared" si="189"/>
        <v>82647.796334505794</v>
      </c>
      <c r="N104" s="171"/>
      <c r="O104" s="49">
        <f t="shared" si="189"/>
        <v>88260.997540904762</v>
      </c>
      <c r="P104" s="49">
        <f t="shared" si="189"/>
        <v>94775.92663641843</v>
      </c>
      <c r="Q104" s="49">
        <f t="shared" si="189"/>
        <v>92011.363694372325</v>
      </c>
      <c r="R104" s="49">
        <f t="shared" si="189"/>
        <v>80362.029663067995</v>
      </c>
      <c r="S104" s="49">
        <f t="shared" si="189"/>
        <v>82647.796334505794</v>
      </c>
      <c r="T104" s="49">
        <f t="shared" si="189"/>
        <v>92339.14907047106</v>
      </c>
      <c r="U104" s="49">
        <f t="shared" si="189"/>
        <v>93390.361556097632</v>
      </c>
      <c r="V104" s="49">
        <f t="shared" si="189"/>
        <v>79772.628584199992</v>
      </c>
      <c r="W104" s="49">
        <f t="shared" si="189"/>
        <v>60075.893467233196</v>
      </c>
      <c r="X104" s="49">
        <f t="shared" si="189"/>
        <v>83112.995638823733</v>
      </c>
      <c r="Y104" s="49">
        <f t="shared" si="189"/>
        <v>89448.111582833197</v>
      </c>
      <c r="Z104" s="49">
        <f t="shared" si="189"/>
        <v>84370.228584199998</v>
      </c>
      <c r="AA104" s="49">
        <f t="shared" si="189"/>
        <v>88959.40874690433</v>
      </c>
      <c r="AB104" s="49">
        <f t="shared" si="189"/>
        <v>56138.990631304325</v>
      </c>
      <c r="AC104" s="49">
        <f t="shared" si="189"/>
        <v>72402.524012212336</v>
      </c>
      <c r="AD104" s="49">
        <f t="shared" si="189"/>
        <v>74931.370556075533</v>
      </c>
      <c r="AE104" s="49">
        <f t="shared" si="189"/>
        <v>66889.438057799998</v>
      </c>
      <c r="AF104" s="49">
        <f t="shared" si="189"/>
        <v>71145.433124886928</v>
      </c>
      <c r="AG104" s="49">
        <f t="shared" si="189"/>
        <v>60455.1583387641</v>
      </c>
      <c r="AH104" s="49">
        <f t="shared" si="189"/>
        <v>74762.909405448023</v>
      </c>
      <c r="AI104" s="49">
        <f t="shared" si="189"/>
        <v>69578.183998620923</v>
      </c>
      <c r="AJ104" s="49">
        <f t="shared" si="189"/>
        <v>56649.024067086932</v>
      </c>
      <c r="AK104" s="49">
        <f t="shared" si="189"/>
        <v>54548.153999999995</v>
      </c>
      <c r="AL104" s="49">
        <f t="shared" si="189"/>
        <v>53671.823271437795</v>
      </c>
      <c r="AM104" s="171"/>
      <c r="AN104" s="49">
        <f t="shared" si="189"/>
        <v>131857.91499052473</v>
      </c>
      <c r="AO104" s="49">
        <f t="shared" si="189"/>
        <v>157133.36859999999</v>
      </c>
      <c r="AP104" s="49">
        <f t="shared" si="189"/>
        <v>96673.367058905496</v>
      </c>
      <c r="AQ104" s="49">
        <f t="shared" si="189"/>
        <v>54890.177523223734</v>
      </c>
      <c r="AR104" s="49">
        <f t="shared" si="189"/>
        <v>118536.71965646485</v>
      </c>
      <c r="AS104" s="49">
        <f t="shared" si="189"/>
        <v>44489.988460514985</v>
      </c>
      <c r="AT104" s="171"/>
      <c r="AU104" s="49">
        <f t="shared" si="189"/>
        <v>105389.98799182374</v>
      </c>
      <c r="AV104" s="49">
        <f t="shared" si="189"/>
        <v>81706.270400000009</v>
      </c>
      <c r="AW104" s="49">
        <f t="shared" si="189"/>
        <v>56138.990631304325</v>
      </c>
      <c r="AX104" s="49">
        <f t="shared" si="189"/>
        <v>81810.266284835598</v>
      </c>
      <c r="AY104" s="49">
        <f t="shared" si="189"/>
        <v>61173.1976</v>
      </c>
      <c r="AZ104" s="49">
        <f t="shared" si="189"/>
        <v>108730.35504644747</v>
      </c>
      <c r="BA104" s="49">
        <f t="shared" si="189"/>
        <v>81706.834907156692</v>
      </c>
      <c r="BB104" s="49">
        <f t="shared" si="189"/>
        <v>104171.6337400378</v>
      </c>
      <c r="BC104" s="171"/>
      <c r="BD104" s="49">
        <f t="shared" ref="BD104:BI104" si="190">SUM(BD90+BD102)</f>
        <v>0</v>
      </c>
      <c r="BE104" s="49">
        <f t="shared" si="190"/>
        <v>67885.095799999996</v>
      </c>
      <c r="BF104" s="49">
        <f t="shared" si="190"/>
        <v>26131.192856731803</v>
      </c>
      <c r="BG104" s="49">
        <f t="shared" si="190"/>
        <v>63005.013184000003</v>
      </c>
      <c r="BH104" s="49">
        <f t="shared" si="190"/>
        <v>45855.35859256921</v>
      </c>
      <c r="BI104" s="49">
        <f t="shared" si="190"/>
        <v>0</v>
      </c>
      <c r="BJ104" s="41">
        <f t="shared" ref="BJ104:BO104" si="191">+BJ90+BJ102</f>
        <v>32404.217364</v>
      </c>
      <c r="BK104" s="41">
        <f t="shared" si="191"/>
        <v>0</v>
      </c>
      <c r="BL104" s="41">
        <f t="shared" si="191"/>
        <v>201773.71739999999</v>
      </c>
      <c r="BM104" s="41">
        <f t="shared" si="191"/>
        <v>0</v>
      </c>
      <c r="BN104" s="41">
        <f t="shared" si="191"/>
        <v>130422.11283970936</v>
      </c>
      <c r="BO104" s="41">
        <f t="shared" si="191"/>
        <v>0</v>
      </c>
      <c r="BP104" s="171"/>
      <c r="BQ104" s="41">
        <f>+BQ90+BQ102</f>
        <v>4396615.454217528</v>
      </c>
      <c r="BS104" s="94">
        <f>SUM(BS90+BS102)</f>
        <v>4064473.5699999994</v>
      </c>
      <c r="BT104" s="280">
        <f>SUM(BT90+BT102)</f>
        <v>4436984.9948163591</v>
      </c>
    </row>
    <row r="105" spans="1:72">
      <c r="C105" s="23"/>
      <c r="D105" s="23"/>
      <c r="E105" s="23"/>
      <c r="F105" s="23"/>
      <c r="G105" s="23"/>
      <c r="H105" s="23"/>
      <c r="I105" s="167"/>
      <c r="J105" s="23"/>
      <c r="K105" s="23"/>
      <c r="L105" s="23"/>
      <c r="M105" s="23"/>
      <c r="N105" s="84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84"/>
      <c r="AN105" s="23"/>
      <c r="AO105" s="23"/>
      <c r="AP105" s="23"/>
      <c r="AQ105" s="23"/>
      <c r="AR105" s="23"/>
      <c r="AS105" s="23"/>
      <c r="AT105" s="84"/>
      <c r="AU105" s="23"/>
      <c r="AV105" s="23"/>
      <c r="AW105" s="23"/>
      <c r="AX105" s="23"/>
      <c r="AY105" s="23"/>
      <c r="AZ105" s="23"/>
      <c r="BA105" s="23"/>
      <c r="BB105" s="23"/>
      <c r="BC105" s="84"/>
      <c r="BD105" s="21"/>
      <c r="BE105" s="23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84"/>
      <c r="BS105" s="94"/>
    </row>
    <row r="106" spans="1:72">
      <c r="A106" s="31" t="s">
        <v>236</v>
      </c>
      <c r="C106" s="23"/>
      <c r="D106" s="23"/>
      <c r="E106" s="23"/>
      <c r="F106" s="23"/>
      <c r="G106" s="23"/>
      <c r="H106" s="23"/>
      <c r="I106" s="167"/>
      <c r="J106" s="23"/>
      <c r="K106" s="23"/>
      <c r="L106" s="23"/>
      <c r="M106" s="23"/>
      <c r="N106" s="84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84"/>
      <c r="AN106" s="23"/>
      <c r="AO106" s="23"/>
      <c r="AP106" s="23"/>
      <c r="AQ106" s="23"/>
      <c r="AR106" s="23"/>
      <c r="AS106" s="23"/>
      <c r="AT106" s="84"/>
      <c r="AU106" s="23"/>
      <c r="AV106" s="23"/>
      <c r="AW106" s="23"/>
      <c r="AX106" s="23"/>
      <c r="AY106" s="23"/>
      <c r="AZ106" s="23"/>
      <c r="BA106" s="23"/>
      <c r="BB106" s="23"/>
      <c r="BC106" s="84"/>
      <c r="BD106" s="21"/>
      <c r="BE106" s="23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84"/>
      <c r="BS106" s="94"/>
    </row>
    <row r="107" spans="1:72">
      <c r="A107" s="31" t="s">
        <v>237</v>
      </c>
      <c r="C107" s="23"/>
      <c r="D107" s="23"/>
      <c r="E107" s="23"/>
      <c r="F107" s="23"/>
      <c r="G107" s="23"/>
      <c r="H107" s="23"/>
      <c r="I107" s="167"/>
      <c r="J107" s="23"/>
      <c r="K107" s="23"/>
      <c r="L107" s="23"/>
      <c r="M107" s="23"/>
      <c r="N107" s="84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84"/>
      <c r="AN107" s="23"/>
      <c r="AO107" s="23"/>
      <c r="AP107" s="23"/>
      <c r="AQ107" s="23"/>
      <c r="AR107" s="23"/>
      <c r="AS107" s="23"/>
      <c r="AT107" s="84"/>
      <c r="AU107" s="23"/>
      <c r="AV107" s="23"/>
      <c r="AW107" s="23"/>
      <c r="AX107" s="23"/>
      <c r="AY107" s="23"/>
      <c r="AZ107" s="23"/>
      <c r="BA107" s="23"/>
      <c r="BB107" s="23"/>
      <c r="BC107" s="84"/>
      <c r="BD107" s="21"/>
      <c r="BE107" s="23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84"/>
      <c r="BS107" s="94"/>
    </row>
    <row r="108" spans="1:72" ht="12">
      <c r="A108" s="31" t="s">
        <v>51</v>
      </c>
      <c r="B108" s="31" t="s">
        <v>50</v>
      </c>
      <c r="C108" s="23"/>
      <c r="D108" s="23">
        <f t="shared" ref="D108:D121" si="192">SUM(J108:M108)</f>
        <v>0</v>
      </c>
      <c r="E108" s="157">
        <f t="shared" ref="E108:E121" si="193">SUM(O108:AS108)</f>
        <v>0</v>
      </c>
      <c r="F108" s="23">
        <f t="shared" ref="F108:F121" si="194">SUM(AU108:BB108)</f>
        <v>0</v>
      </c>
      <c r="G108" s="23"/>
      <c r="H108" s="23"/>
      <c r="I108" s="167"/>
      <c r="J108" s="23"/>
      <c r="K108" s="23"/>
      <c r="L108" s="23"/>
      <c r="M108" s="23"/>
      <c r="N108" s="84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84"/>
      <c r="AN108" s="23"/>
      <c r="AO108" s="23"/>
      <c r="AP108" s="23"/>
      <c r="AQ108" s="23"/>
      <c r="AR108" s="23"/>
      <c r="AS108" s="23"/>
      <c r="AT108" s="84"/>
      <c r="AU108" s="23"/>
      <c r="AV108" s="23"/>
      <c r="AW108" s="23"/>
      <c r="AX108" s="23"/>
      <c r="AY108" s="23"/>
      <c r="AZ108" s="23"/>
      <c r="BA108" s="23"/>
      <c r="BB108" s="23"/>
      <c r="BC108" s="84"/>
      <c r="BD108" s="61">
        <f>SUM('AC-SVC'!C108)*BD$7</f>
        <v>0</v>
      </c>
      <c r="BE108" s="61">
        <f>SUM('AC-SVC'!D108)</f>
        <v>0</v>
      </c>
      <c r="BF108" s="61">
        <f>SUM('AC-SVC'!G108)</f>
        <v>0</v>
      </c>
      <c r="BG108" s="61">
        <f>SUM('AC-SVC'!J108)</f>
        <v>0</v>
      </c>
      <c r="BH108" s="61">
        <f>SUM('AC-SVC'!M108)</f>
        <v>0</v>
      </c>
      <c r="BI108" s="61">
        <f>SUM('AC-SVC'!P108)*BI$7</f>
        <v>0</v>
      </c>
      <c r="BJ108" s="61">
        <f>SUM(PT!C108)</f>
        <v>0</v>
      </c>
      <c r="BK108" s="61">
        <f>SUM(CCLC!C108)</f>
        <v>0</v>
      </c>
      <c r="BL108" s="61">
        <f>SUM(FC!D108)</f>
        <v>0</v>
      </c>
      <c r="BM108" s="61">
        <f>SUM(FN!F108)*BM$7</f>
        <v>0</v>
      </c>
      <c r="BN108" s="61">
        <f>SUM(FS!D108)</f>
        <v>0</v>
      </c>
      <c r="BO108" s="61">
        <f>SUM(IT!D108)</f>
        <v>42300</v>
      </c>
      <c r="BP108" s="84"/>
      <c r="BQ108" s="62">
        <f t="shared" ref="BQ108:BQ121" si="195">SUM(C108:H108)+SUM(BD108:BO108)</f>
        <v>42300</v>
      </c>
      <c r="BS108" s="95">
        <f>SUM(Sheet1!C108)</f>
        <v>19462.5</v>
      </c>
      <c r="BT108" s="288">
        <f>+BQ108</f>
        <v>42300</v>
      </c>
    </row>
    <row r="109" spans="1:72" ht="12">
      <c r="A109" s="31" t="s">
        <v>41</v>
      </c>
      <c r="B109" s="31" t="s">
        <v>42</v>
      </c>
      <c r="C109" s="23"/>
      <c r="D109" s="23">
        <f t="shared" si="192"/>
        <v>0</v>
      </c>
      <c r="E109" s="157">
        <f t="shared" si="193"/>
        <v>0</v>
      </c>
      <c r="F109" s="23">
        <f t="shared" si="194"/>
        <v>0</v>
      </c>
      <c r="G109" s="23"/>
      <c r="H109" s="23"/>
      <c r="I109" s="167"/>
      <c r="J109" s="23"/>
      <c r="K109" s="23"/>
      <c r="L109" s="23"/>
      <c r="M109" s="23"/>
      <c r="N109" s="84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84"/>
      <c r="AN109" s="23"/>
      <c r="AO109" s="23"/>
      <c r="AP109" s="23"/>
      <c r="AQ109" s="23"/>
      <c r="AR109" s="23"/>
      <c r="AS109" s="23"/>
      <c r="AT109" s="84"/>
      <c r="AU109" s="23"/>
      <c r="AV109" s="23"/>
      <c r="AW109" s="23"/>
      <c r="AX109" s="23"/>
      <c r="AY109" s="23"/>
      <c r="AZ109" s="23"/>
      <c r="BA109" s="23"/>
      <c r="BB109" s="23"/>
      <c r="BC109" s="84"/>
      <c r="BD109" s="61">
        <f>SUM('AC-SVC'!C109)*BD$7</f>
        <v>0</v>
      </c>
      <c r="BE109" s="61">
        <f>SUM('AC-SVC'!D109)</f>
        <v>0</v>
      </c>
      <c r="BF109" s="61">
        <f>SUM('AC-SVC'!G109)</f>
        <v>37800</v>
      </c>
      <c r="BG109" s="61">
        <f>SUM('AC-SVC'!J109)</f>
        <v>0</v>
      </c>
      <c r="BH109" s="61">
        <f>SUM('AC-SVC'!M109)</f>
        <v>2200</v>
      </c>
      <c r="BI109" s="61">
        <f>SUM('AC-SVC'!P109)*BI$7</f>
        <v>0</v>
      </c>
      <c r="BJ109" s="61">
        <f>SUM(PT!C109)</f>
        <v>0</v>
      </c>
      <c r="BK109" s="61">
        <f>SUM(CCLC!C109)</f>
        <v>0</v>
      </c>
      <c r="BL109" s="61">
        <f>SUM(FC!D109)</f>
        <v>0</v>
      </c>
      <c r="BM109" s="61">
        <f>SUM(FN!F109)*BM$7</f>
        <v>0</v>
      </c>
      <c r="BN109" s="61">
        <f>SUM(FS!D109)</f>
        <v>0</v>
      </c>
      <c r="BO109" s="61">
        <f>SUM(IT!D109)</f>
        <v>0</v>
      </c>
      <c r="BP109" s="84"/>
      <c r="BQ109" s="62">
        <f t="shared" si="195"/>
        <v>40000</v>
      </c>
      <c r="BS109" s="95">
        <f>SUM(Sheet1!C109)</f>
        <v>280788</v>
      </c>
      <c r="BT109" s="288">
        <f>+BQ109</f>
        <v>40000</v>
      </c>
    </row>
    <row r="110" spans="1:72" ht="12">
      <c r="A110" s="31" t="s">
        <v>43</v>
      </c>
      <c r="B110" s="31" t="s">
        <v>238</v>
      </c>
      <c r="C110" s="23"/>
      <c r="D110" s="23">
        <f t="shared" si="192"/>
        <v>1600</v>
      </c>
      <c r="E110" s="157">
        <f t="shared" si="193"/>
        <v>12000</v>
      </c>
      <c r="F110" s="23">
        <f t="shared" si="194"/>
        <v>3200</v>
      </c>
      <c r="G110" s="23">
        <v>3000</v>
      </c>
      <c r="H110" s="23">
        <v>1500</v>
      </c>
      <c r="I110" s="167"/>
      <c r="J110" s="23">
        <v>400</v>
      </c>
      <c r="K110" s="23">
        <v>400</v>
      </c>
      <c r="L110" s="23">
        <v>400</v>
      </c>
      <c r="M110" s="23">
        <v>400</v>
      </c>
      <c r="N110" s="84"/>
      <c r="O110" s="23">
        <v>400</v>
      </c>
      <c r="P110" s="23">
        <v>400</v>
      </c>
      <c r="Q110" s="23">
        <v>400</v>
      </c>
      <c r="R110" s="23">
        <v>400</v>
      </c>
      <c r="S110" s="23">
        <v>400</v>
      </c>
      <c r="T110" s="23">
        <v>400</v>
      </c>
      <c r="U110" s="23">
        <v>400</v>
      </c>
      <c r="V110" s="23">
        <v>400</v>
      </c>
      <c r="W110" s="23">
        <v>400</v>
      </c>
      <c r="X110" s="23">
        <v>400</v>
      </c>
      <c r="Y110" s="23">
        <v>400</v>
      </c>
      <c r="Z110" s="23">
        <v>400</v>
      </c>
      <c r="AA110" s="23">
        <v>400</v>
      </c>
      <c r="AB110" s="23">
        <v>400</v>
      </c>
      <c r="AC110" s="23">
        <v>400</v>
      </c>
      <c r="AD110" s="23">
        <v>400</v>
      </c>
      <c r="AE110" s="23">
        <v>400</v>
      </c>
      <c r="AF110" s="23">
        <v>400</v>
      </c>
      <c r="AG110" s="23">
        <v>400</v>
      </c>
      <c r="AH110" s="23">
        <v>400</v>
      </c>
      <c r="AI110" s="23">
        <v>400</v>
      </c>
      <c r="AJ110" s="23">
        <v>400</v>
      </c>
      <c r="AK110" s="23">
        <v>400</v>
      </c>
      <c r="AL110" s="23">
        <v>400</v>
      </c>
      <c r="AM110" s="84"/>
      <c r="AN110" s="23">
        <v>400</v>
      </c>
      <c r="AO110" s="23">
        <v>400</v>
      </c>
      <c r="AP110" s="23">
        <v>400</v>
      </c>
      <c r="AQ110" s="23">
        <v>400</v>
      </c>
      <c r="AR110" s="23">
        <v>400</v>
      </c>
      <c r="AS110" s="23">
        <v>400</v>
      </c>
      <c r="AT110" s="84"/>
      <c r="AU110" s="23">
        <v>400</v>
      </c>
      <c r="AV110" s="23">
        <v>400</v>
      </c>
      <c r="AW110" s="23">
        <v>400</v>
      </c>
      <c r="AX110" s="23">
        <v>400</v>
      </c>
      <c r="AY110" s="23">
        <v>400</v>
      </c>
      <c r="AZ110" s="23">
        <v>400</v>
      </c>
      <c r="BA110" s="23">
        <v>400</v>
      </c>
      <c r="BB110" s="23">
        <v>400</v>
      </c>
      <c r="BC110" s="84"/>
      <c r="BD110" s="61">
        <f>SUM('AC-SVC'!C110)*BD$7</f>
        <v>0</v>
      </c>
      <c r="BE110" s="61">
        <f>SUM('AC-SVC'!D110)</f>
        <v>0</v>
      </c>
      <c r="BF110" s="61">
        <f>SUM('AC-SVC'!G110)</f>
        <v>0</v>
      </c>
      <c r="BG110" s="61">
        <f>SUM('AC-SVC'!J110)</f>
        <v>0</v>
      </c>
      <c r="BH110" s="61">
        <f>SUM('AC-SVC'!M110)</f>
        <v>0</v>
      </c>
      <c r="BI110" s="61">
        <f>SUM('AC-SVC'!P110)*BI$7</f>
        <v>0</v>
      </c>
      <c r="BJ110" s="61">
        <f>SUM(PT!C110)</f>
        <v>0</v>
      </c>
      <c r="BK110" s="61">
        <f>SUM(CCLC!C110)</f>
        <v>0</v>
      </c>
      <c r="BL110" s="61">
        <f>SUM(FC!D110)</f>
        <v>0</v>
      </c>
      <c r="BM110" s="61">
        <f>SUM(FN!F110)*BM$7</f>
        <v>0</v>
      </c>
      <c r="BN110" s="61">
        <f>SUM(FS!D110)</f>
        <v>250</v>
      </c>
      <c r="BO110" s="61">
        <f>SUM(IT!D110)</f>
        <v>0</v>
      </c>
      <c r="BP110" s="84"/>
      <c r="BQ110" s="62">
        <f t="shared" si="195"/>
        <v>21550</v>
      </c>
      <c r="BS110" s="95">
        <f>SUM(Sheet1!C110)</f>
        <v>5747.51</v>
      </c>
      <c r="BT110" s="288">
        <f>SUM(Sheet1!I110)</f>
        <v>5769.1833962264154</v>
      </c>
    </row>
    <row r="111" spans="1:72" ht="12">
      <c r="A111" s="31" t="s">
        <v>44</v>
      </c>
      <c r="B111" s="31" t="s">
        <v>45</v>
      </c>
      <c r="C111" s="23"/>
      <c r="D111" s="23">
        <f t="shared" si="192"/>
        <v>0</v>
      </c>
      <c r="E111" s="157">
        <f t="shared" si="193"/>
        <v>0</v>
      </c>
      <c r="F111" s="23">
        <f t="shared" si="194"/>
        <v>0</v>
      </c>
      <c r="G111" s="23">
        <v>750</v>
      </c>
      <c r="H111" s="23">
        <v>1000</v>
      </c>
      <c r="I111" s="167"/>
      <c r="J111" s="23"/>
      <c r="K111" s="23"/>
      <c r="L111" s="23"/>
      <c r="M111" s="23"/>
      <c r="N111" s="84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84"/>
      <c r="AN111" s="23"/>
      <c r="AO111" s="23"/>
      <c r="AP111" s="23"/>
      <c r="AQ111" s="23"/>
      <c r="AR111" s="23"/>
      <c r="AS111" s="23"/>
      <c r="AT111" s="84"/>
      <c r="AU111" s="23"/>
      <c r="AV111" s="23"/>
      <c r="AW111" s="23"/>
      <c r="AX111" s="23"/>
      <c r="AY111" s="23"/>
      <c r="AZ111" s="23"/>
      <c r="BA111" s="23"/>
      <c r="BB111" s="23"/>
      <c r="BC111" s="84"/>
      <c r="BD111" s="61">
        <f>SUM('AC-SVC'!C111)*BD$7</f>
        <v>0</v>
      </c>
      <c r="BE111" s="61">
        <f>SUM('AC-SVC'!D111)</f>
        <v>0</v>
      </c>
      <c r="BF111" s="61">
        <f>SUM('AC-SVC'!G111)</f>
        <v>0</v>
      </c>
      <c r="BG111" s="61">
        <f>SUM('AC-SVC'!J111)</f>
        <v>0</v>
      </c>
      <c r="BH111" s="61">
        <f>SUM('AC-SVC'!M111)</f>
        <v>1080</v>
      </c>
      <c r="BI111" s="61">
        <f>SUM('AC-SVC'!P111)*BI$7</f>
        <v>0</v>
      </c>
      <c r="BJ111" s="61">
        <f>SUM(PT!C111)</f>
        <v>0</v>
      </c>
      <c r="BK111" s="61">
        <f>SUM(CCLC!C111)</f>
        <v>0</v>
      </c>
      <c r="BL111" s="61">
        <f>SUM(FC!D111)</f>
        <v>3000</v>
      </c>
      <c r="BM111" s="61">
        <f>SUM(FN!F111)*BM$7</f>
        <v>0</v>
      </c>
      <c r="BN111" s="61">
        <f>SUM(FS!D111)</f>
        <v>0</v>
      </c>
      <c r="BO111" s="61">
        <f>SUM(IT!D111)</f>
        <v>0</v>
      </c>
      <c r="BP111" s="84"/>
      <c r="BQ111" s="62">
        <f t="shared" si="195"/>
        <v>5830</v>
      </c>
      <c r="BS111" s="95">
        <f>SUM(Sheet1!C111)</f>
        <v>0</v>
      </c>
      <c r="BT111" s="288">
        <f>+BQ111</f>
        <v>5830</v>
      </c>
    </row>
    <row r="112" spans="1:72" ht="12">
      <c r="A112" s="31" t="s">
        <v>46</v>
      </c>
      <c r="B112" s="31" t="s">
        <v>239</v>
      </c>
      <c r="C112" s="23"/>
      <c r="D112" s="23">
        <f t="shared" si="192"/>
        <v>0</v>
      </c>
      <c r="E112" s="157">
        <f t="shared" si="193"/>
        <v>0</v>
      </c>
      <c r="F112" s="23">
        <f t="shared" si="194"/>
        <v>0</v>
      </c>
      <c r="G112" s="23"/>
      <c r="H112" s="23"/>
      <c r="I112" s="167"/>
      <c r="J112" s="23"/>
      <c r="K112" s="23"/>
      <c r="L112" s="23"/>
      <c r="M112" s="23"/>
      <c r="N112" s="84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84"/>
      <c r="AN112" s="23"/>
      <c r="AO112" s="23"/>
      <c r="AP112" s="23"/>
      <c r="AQ112" s="23"/>
      <c r="AR112" s="23"/>
      <c r="AS112" s="23"/>
      <c r="AT112" s="84"/>
      <c r="AU112" s="23"/>
      <c r="AV112" s="23"/>
      <c r="AW112" s="23"/>
      <c r="AX112" s="23"/>
      <c r="AY112" s="23"/>
      <c r="AZ112" s="23"/>
      <c r="BA112" s="23"/>
      <c r="BB112" s="23"/>
      <c r="BC112" s="84"/>
      <c r="BD112" s="61">
        <f>SUM('AC-SVC'!C112)*BD$7</f>
        <v>0</v>
      </c>
      <c r="BE112" s="61">
        <f>SUM('AC-SVC'!D112)</f>
        <v>0</v>
      </c>
      <c r="BF112" s="61">
        <f>SUM('AC-SVC'!G112)</f>
        <v>0</v>
      </c>
      <c r="BG112" s="61">
        <f>SUM('AC-SVC'!J112)</f>
        <v>0</v>
      </c>
      <c r="BH112" s="61">
        <f>SUM('AC-SVC'!M112)</f>
        <v>0</v>
      </c>
      <c r="BI112" s="61">
        <f>SUM('AC-SVC'!P112)*BI$7</f>
        <v>0</v>
      </c>
      <c r="BJ112" s="61">
        <f>SUM(PT!C112)</f>
        <v>0</v>
      </c>
      <c r="BK112" s="61">
        <f>SUM(CCLC!C112)</f>
        <v>0</v>
      </c>
      <c r="BL112" s="61">
        <f>SUM(FC!D112)</f>
        <v>0</v>
      </c>
      <c r="BM112" s="61">
        <f>SUM(FN!F112)*BM$7</f>
        <v>0</v>
      </c>
      <c r="BN112" s="61">
        <f>SUM(FS!D112)</f>
        <v>0</v>
      </c>
      <c r="BO112" s="61">
        <f>SUM(IT!D112)</f>
        <v>0</v>
      </c>
      <c r="BP112" s="84"/>
      <c r="BQ112" s="62">
        <f t="shared" si="195"/>
        <v>0</v>
      </c>
      <c r="BS112" s="95">
        <f>SUM(Sheet1!C112)</f>
        <v>0</v>
      </c>
      <c r="BT112" s="288">
        <v>0</v>
      </c>
    </row>
    <row r="113" spans="1:72" ht="12">
      <c r="A113" s="31" t="s">
        <v>47</v>
      </c>
      <c r="B113" s="31" t="s">
        <v>240</v>
      </c>
      <c r="C113" s="23"/>
      <c r="D113" s="23">
        <f t="shared" si="192"/>
        <v>0</v>
      </c>
      <c r="E113" s="157">
        <f t="shared" si="193"/>
        <v>0</v>
      </c>
      <c r="F113" s="23">
        <f t="shared" si="194"/>
        <v>0</v>
      </c>
      <c r="G113" s="23"/>
      <c r="H113" s="23"/>
      <c r="I113" s="167"/>
      <c r="J113" s="23"/>
      <c r="K113" s="23"/>
      <c r="L113" s="23"/>
      <c r="M113" s="23"/>
      <c r="N113" s="84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84"/>
      <c r="AN113" s="23"/>
      <c r="AO113" s="23"/>
      <c r="AP113" s="23"/>
      <c r="AQ113" s="23"/>
      <c r="AR113" s="23"/>
      <c r="AS113" s="23"/>
      <c r="AT113" s="84"/>
      <c r="AU113" s="23"/>
      <c r="AV113" s="23"/>
      <c r="AW113" s="23"/>
      <c r="AX113" s="23"/>
      <c r="AY113" s="23"/>
      <c r="AZ113" s="23"/>
      <c r="BA113" s="23"/>
      <c r="BB113" s="23"/>
      <c r="BC113" s="84"/>
      <c r="BD113" s="61">
        <f>SUM('AC-SVC'!C113)*BD$7</f>
        <v>0</v>
      </c>
      <c r="BE113" s="61">
        <f>SUM('AC-SVC'!D113)</f>
        <v>0</v>
      </c>
      <c r="BF113" s="61">
        <f>SUM('AC-SVC'!G113)</f>
        <v>0</v>
      </c>
      <c r="BG113" s="61">
        <f>SUM('AC-SVC'!J113)</f>
        <v>0</v>
      </c>
      <c r="BH113" s="61">
        <f>SUM('AC-SVC'!M113)</f>
        <v>0</v>
      </c>
      <c r="BI113" s="61">
        <f>SUM('AC-SVC'!P113)*BI$7</f>
        <v>0</v>
      </c>
      <c r="BJ113" s="61">
        <f>SUM(PT!C113)</f>
        <v>0</v>
      </c>
      <c r="BK113" s="61">
        <f>SUM(CCLC!C113)</f>
        <v>0</v>
      </c>
      <c r="BL113" s="61">
        <f>SUM(FC!D113)</f>
        <v>0</v>
      </c>
      <c r="BM113" s="61">
        <f>SUM(FN!F113)*BM$7</f>
        <v>0</v>
      </c>
      <c r="BN113" s="61">
        <f>SUM(FS!D113)</f>
        <v>0</v>
      </c>
      <c r="BO113" s="61">
        <f>SUM(IT!D113)</f>
        <v>0</v>
      </c>
      <c r="BP113" s="84"/>
      <c r="BQ113" s="62">
        <f t="shared" si="195"/>
        <v>0</v>
      </c>
      <c r="BS113" s="95">
        <f>SUM(Sheet1!C113)</f>
        <v>22455.26</v>
      </c>
      <c r="BT113" s="288">
        <v>0</v>
      </c>
    </row>
    <row r="114" spans="1:72" ht="12">
      <c r="A114" s="31" t="s">
        <v>48</v>
      </c>
      <c r="B114" s="31" t="s">
        <v>49</v>
      </c>
      <c r="C114" s="23"/>
      <c r="D114" s="23">
        <f t="shared" si="192"/>
        <v>0</v>
      </c>
      <c r="E114" s="157">
        <f t="shared" si="193"/>
        <v>0</v>
      </c>
      <c r="F114" s="23">
        <f t="shared" si="194"/>
        <v>0</v>
      </c>
      <c r="G114" s="23"/>
      <c r="H114" s="23"/>
      <c r="I114" s="167"/>
      <c r="J114" s="23"/>
      <c r="K114" s="23"/>
      <c r="L114" s="23"/>
      <c r="M114" s="23"/>
      <c r="N114" s="84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84"/>
      <c r="AN114" s="23"/>
      <c r="AO114" s="23"/>
      <c r="AP114" s="23"/>
      <c r="AQ114" s="23"/>
      <c r="AR114" s="23"/>
      <c r="AS114" s="23"/>
      <c r="AT114" s="84"/>
      <c r="AU114" s="23"/>
      <c r="AV114" s="23"/>
      <c r="AW114" s="23"/>
      <c r="AX114" s="23"/>
      <c r="AY114" s="23"/>
      <c r="AZ114" s="23"/>
      <c r="BA114" s="23"/>
      <c r="BB114" s="23"/>
      <c r="BC114" s="84"/>
      <c r="BD114" s="61">
        <f>SUM('AC-SVC'!C114)*BD$7</f>
        <v>0</v>
      </c>
      <c r="BE114" s="61">
        <f>SUM('AC-SVC'!D114)</f>
        <v>0</v>
      </c>
      <c r="BF114" s="61">
        <f>SUM('AC-SVC'!G114)</f>
        <v>0</v>
      </c>
      <c r="BG114" s="61">
        <f>SUM('AC-SVC'!J114)</f>
        <v>0</v>
      </c>
      <c r="BH114" s="61">
        <f>SUM('AC-SVC'!M114)</f>
        <v>0</v>
      </c>
      <c r="BI114" s="61">
        <f>SUM('AC-SVC'!P114)*BI$7</f>
        <v>0</v>
      </c>
      <c r="BJ114" s="61">
        <f>SUM(PT!C114)</f>
        <v>0</v>
      </c>
      <c r="BK114" s="61">
        <f>SUM(CCLC!C114)</f>
        <v>0</v>
      </c>
      <c r="BL114" s="61">
        <f>SUM(FC!D114)</f>
        <v>9500</v>
      </c>
      <c r="BM114" s="61">
        <f>SUM(FN!F114)*BM$7</f>
        <v>0</v>
      </c>
      <c r="BN114" s="61">
        <f>SUM(FS!D114)</f>
        <v>0</v>
      </c>
      <c r="BO114" s="61">
        <f>SUM(IT!D114)</f>
        <v>1800</v>
      </c>
      <c r="BP114" s="84"/>
      <c r="BQ114" s="62">
        <f t="shared" si="195"/>
        <v>11300</v>
      </c>
      <c r="BS114" s="95">
        <f>SUM(Sheet1!C114)</f>
        <v>17303</v>
      </c>
      <c r="BT114" s="288">
        <f>+BQ114</f>
        <v>11300</v>
      </c>
    </row>
    <row r="115" spans="1:72" ht="12">
      <c r="A115" s="31" t="s">
        <v>82</v>
      </c>
      <c r="B115" s="31" t="s">
        <v>166</v>
      </c>
      <c r="C115" s="23"/>
      <c r="D115" s="23">
        <f t="shared" ref="D115:D120" si="196">SUM(J115:M115)</f>
        <v>200</v>
      </c>
      <c r="E115" s="157">
        <f t="shared" si="193"/>
        <v>1500</v>
      </c>
      <c r="F115" s="23">
        <f t="shared" ref="F115:F120" si="197">SUM(AU115:BB115)</f>
        <v>400</v>
      </c>
      <c r="G115" s="23"/>
      <c r="H115" s="23"/>
      <c r="I115" s="167"/>
      <c r="J115" s="23">
        <v>50</v>
      </c>
      <c r="K115" s="23">
        <v>50</v>
      </c>
      <c r="L115" s="23">
        <v>50</v>
      </c>
      <c r="M115" s="23">
        <v>50</v>
      </c>
      <c r="N115" s="84"/>
      <c r="O115" s="23">
        <v>50</v>
      </c>
      <c r="P115" s="23">
        <v>50</v>
      </c>
      <c r="Q115" s="23">
        <v>50</v>
      </c>
      <c r="R115" s="23">
        <v>50</v>
      </c>
      <c r="S115" s="23">
        <v>50</v>
      </c>
      <c r="T115" s="23">
        <v>50</v>
      </c>
      <c r="U115" s="23">
        <v>50</v>
      </c>
      <c r="V115" s="23">
        <v>50</v>
      </c>
      <c r="W115" s="23">
        <v>50</v>
      </c>
      <c r="X115" s="23">
        <v>50</v>
      </c>
      <c r="Y115" s="23">
        <v>50</v>
      </c>
      <c r="Z115" s="23">
        <v>50</v>
      </c>
      <c r="AA115" s="23">
        <v>50</v>
      </c>
      <c r="AB115" s="23">
        <v>50</v>
      </c>
      <c r="AC115" s="23">
        <v>50</v>
      </c>
      <c r="AD115" s="23">
        <v>50</v>
      </c>
      <c r="AE115" s="23">
        <v>50</v>
      </c>
      <c r="AF115" s="23">
        <v>50</v>
      </c>
      <c r="AG115" s="23">
        <v>50</v>
      </c>
      <c r="AH115" s="23">
        <v>50</v>
      </c>
      <c r="AI115" s="23">
        <v>50</v>
      </c>
      <c r="AJ115" s="23">
        <v>50</v>
      </c>
      <c r="AK115" s="23">
        <v>50</v>
      </c>
      <c r="AL115" s="23">
        <v>50</v>
      </c>
      <c r="AM115" s="84"/>
      <c r="AN115" s="23">
        <v>50</v>
      </c>
      <c r="AO115" s="23">
        <v>50</v>
      </c>
      <c r="AP115" s="23">
        <v>50</v>
      </c>
      <c r="AQ115" s="23">
        <v>50</v>
      </c>
      <c r="AR115" s="23">
        <v>50</v>
      </c>
      <c r="AS115" s="23">
        <v>50</v>
      </c>
      <c r="AT115" s="84"/>
      <c r="AU115" s="23">
        <v>50</v>
      </c>
      <c r="AV115" s="23">
        <v>50</v>
      </c>
      <c r="AW115" s="23">
        <v>50</v>
      </c>
      <c r="AX115" s="23">
        <v>50</v>
      </c>
      <c r="AY115" s="23">
        <v>50</v>
      </c>
      <c r="AZ115" s="23">
        <v>50</v>
      </c>
      <c r="BA115" s="23">
        <v>50</v>
      </c>
      <c r="BB115" s="23">
        <v>50</v>
      </c>
      <c r="BC115" s="84"/>
      <c r="BD115" s="61">
        <f>SUM('AC-SVC'!C115)*BD$7</f>
        <v>0</v>
      </c>
      <c r="BE115" s="61">
        <f>SUM('AC-SVC'!D115)</f>
        <v>0</v>
      </c>
      <c r="BF115" s="61">
        <f>SUM('AC-SVC'!G115)</f>
        <v>0</v>
      </c>
      <c r="BG115" s="61">
        <f>SUM('AC-SVC'!J115)</f>
        <v>0</v>
      </c>
      <c r="BH115" s="61">
        <f>SUM('AC-SVC'!M115)</f>
        <v>0</v>
      </c>
      <c r="BI115" s="61">
        <f>SUM('AC-SVC'!P115)*BI$7</f>
        <v>0</v>
      </c>
      <c r="BJ115" s="61">
        <f>SUM(PT!C115)</f>
        <v>0</v>
      </c>
      <c r="BK115" s="61">
        <f>SUM(CCLC!C115)</f>
        <v>0</v>
      </c>
      <c r="BL115" s="61">
        <f>SUM(FC!D115)</f>
        <v>0</v>
      </c>
      <c r="BM115" s="61">
        <f>SUM(FN!F115)*BM$7</f>
        <v>0</v>
      </c>
      <c r="BN115" s="61">
        <f>SUM(FS!D115)</f>
        <v>0</v>
      </c>
      <c r="BO115" s="61">
        <f>SUM(IT!D115)</f>
        <v>0</v>
      </c>
      <c r="BP115" s="84"/>
      <c r="BQ115" s="62">
        <f t="shared" si="195"/>
        <v>2100</v>
      </c>
      <c r="BS115" s="95">
        <f>SUM(Sheet1!C115)</f>
        <v>75</v>
      </c>
      <c r="BT115" s="288">
        <f>+BQ115</f>
        <v>2100</v>
      </c>
    </row>
    <row r="116" spans="1:72" ht="12">
      <c r="A116" s="31" t="s">
        <v>104</v>
      </c>
      <c r="B116" s="31" t="s">
        <v>103</v>
      </c>
      <c r="C116" s="23"/>
      <c r="D116" s="23">
        <f t="shared" si="196"/>
        <v>0</v>
      </c>
      <c r="E116" s="157">
        <f t="shared" si="193"/>
        <v>0</v>
      </c>
      <c r="F116" s="23">
        <f t="shared" si="197"/>
        <v>0</v>
      </c>
      <c r="G116" s="23"/>
      <c r="H116" s="23"/>
      <c r="I116" s="167"/>
      <c r="J116" s="23"/>
      <c r="K116" s="23"/>
      <c r="L116" s="23"/>
      <c r="M116" s="23"/>
      <c r="N116" s="84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84"/>
      <c r="AN116" s="23"/>
      <c r="AO116" s="23"/>
      <c r="AP116" s="23"/>
      <c r="AQ116" s="23"/>
      <c r="AR116" s="23"/>
      <c r="AS116" s="23"/>
      <c r="AT116" s="84"/>
      <c r="AU116" s="23"/>
      <c r="AV116" s="23"/>
      <c r="AW116" s="23"/>
      <c r="AX116" s="23"/>
      <c r="AY116" s="23"/>
      <c r="AZ116" s="23"/>
      <c r="BA116" s="23"/>
      <c r="BB116" s="23"/>
      <c r="BC116" s="84"/>
      <c r="BD116" s="61">
        <f>SUM('AC-SVC'!C116)*BD$7</f>
        <v>0</v>
      </c>
      <c r="BE116" s="61">
        <f>SUM('AC-SVC'!D116)</f>
        <v>0</v>
      </c>
      <c r="BF116" s="61">
        <f>SUM('AC-SVC'!G116)</f>
        <v>0</v>
      </c>
      <c r="BG116" s="61">
        <f>SUM('AC-SVC'!J116)</f>
        <v>0</v>
      </c>
      <c r="BH116" s="61">
        <f>SUM('AC-SVC'!M116)</f>
        <v>0</v>
      </c>
      <c r="BI116" s="61">
        <f>SUM('AC-SVC'!P116)*BI$7</f>
        <v>0</v>
      </c>
      <c r="BJ116" s="61">
        <f>SUM(PT!C116)</f>
        <v>0</v>
      </c>
      <c r="BK116" s="61">
        <f>SUM(CCLC!C116)</f>
        <v>0</v>
      </c>
      <c r="BL116" s="61">
        <f>SUM(FC!D116)</f>
        <v>0</v>
      </c>
      <c r="BM116" s="61">
        <f>SUM(FN!F116)*BM$7</f>
        <v>0</v>
      </c>
      <c r="BN116" s="61">
        <f>SUM(FS!D116)</f>
        <v>0</v>
      </c>
      <c r="BO116" s="61">
        <f>SUM(IT!D116)</f>
        <v>0</v>
      </c>
      <c r="BP116" s="84"/>
      <c r="BQ116" s="62">
        <f t="shared" si="195"/>
        <v>0</v>
      </c>
      <c r="BS116" s="95">
        <f>SUM(Sheet1!C116)</f>
        <v>0</v>
      </c>
      <c r="BT116" s="288">
        <f>+BQ116</f>
        <v>0</v>
      </c>
    </row>
    <row r="117" spans="1:72" ht="12">
      <c r="A117" s="31" t="s">
        <v>59</v>
      </c>
      <c r="B117" s="31" t="s">
        <v>318</v>
      </c>
      <c r="C117" s="23"/>
      <c r="D117" s="23">
        <f t="shared" si="196"/>
        <v>0</v>
      </c>
      <c r="E117" s="157">
        <f t="shared" si="193"/>
        <v>0</v>
      </c>
      <c r="F117" s="23">
        <f t="shared" si="197"/>
        <v>0</v>
      </c>
      <c r="G117" s="23"/>
      <c r="H117" s="23"/>
      <c r="I117" s="167"/>
      <c r="J117" s="23"/>
      <c r="K117" s="23"/>
      <c r="L117" s="23"/>
      <c r="M117" s="23"/>
      <c r="N117" s="84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84"/>
      <c r="AN117" s="23"/>
      <c r="AO117" s="23"/>
      <c r="AP117" s="23"/>
      <c r="AQ117" s="23"/>
      <c r="AR117" s="23"/>
      <c r="AS117" s="23"/>
      <c r="AT117" s="84"/>
      <c r="AU117" s="23"/>
      <c r="AV117" s="23"/>
      <c r="AW117" s="23"/>
      <c r="AX117" s="23"/>
      <c r="AY117" s="23"/>
      <c r="AZ117" s="23"/>
      <c r="BA117" s="23"/>
      <c r="BB117" s="23"/>
      <c r="BC117" s="84"/>
      <c r="BD117" s="61">
        <f>SUM('AC-SVC'!C117)*BD$7</f>
        <v>0</v>
      </c>
      <c r="BE117" s="61">
        <f>SUM('AC-SVC'!D117)</f>
        <v>0</v>
      </c>
      <c r="BF117" s="61">
        <f>SUM('AC-SVC'!G117)</f>
        <v>0</v>
      </c>
      <c r="BG117" s="61">
        <f>SUM('AC-SVC'!J117)</f>
        <v>0</v>
      </c>
      <c r="BH117" s="61">
        <f>SUM('AC-SVC'!M117)</f>
        <v>0</v>
      </c>
      <c r="BI117" s="61">
        <f>SUM('AC-SVC'!P117)*BI$7</f>
        <v>0</v>
      </c>
      <c r="BJ117" s="61">
        <f>SUM(PT!C117)</f>
        <v>0</v>
      </c>
      <c r="BK117" s="61">
        <f>SUM(CCLC!C117)</f>
        <v>0</v>
      </c>
      <c r="BL117" s="61">
        <f>SUM(FC!D117)</f>
        <v>2000</v>
      </c>
      <c r="BM117" s="61">
        <f>SUM(FN!F117)*BM$7</f>
        <v>0</v>
      </c>
      <c r="BN117" s="61">
        <f>SUM(FS!D117)</f>
        <v>0</v>
      </c>
      <c r="BO117" s="61">
        <f>SUM(IT!D117)</f>
        <v>0</v>
      </c>
      <c r="BP117" s="84"/>
      <c r="BQ117" s="62">
        <f t="shared" si="195"/>
        <v>2000</v>
      </c>
      <c r="BS117" s="95">
        <f>SUM(Sheet1!C117)</f>
        <v>2299.71</v>
      </c>
      <c r="BT117" s="288">
        <f>+BS117</f>
        <v>2299.71</v>
      </c>
    </row>
    <row r="118" spans="1:72" ht="12">
      <c r="A118" s="31" t="s">
        <v>87</v>
      </c>
      <c r="B118" s="31" t="s">
        <v>88</v>
      </c>
      <c r="C118" s="23"/>
      <c r="D118" s="23">
        <f t="shared" si="196"/>
        <v>0</v>
      </c>
      <c r="E118" s="157">
        <f t="shared" si="193"/>
        <v>0</v>
      </c>
      <c r="F118" s="23">
        <f t="shared" si="197"/>
        <v>0</v>
      </c>
      <c r="G118" s="23"/>
      <c r="H118" s="23"/>
      <c r="I118" s="167"/>
      <c r="J118" s="23"/>
      <c r="K118" s="23"/>
      <c r="L118" s="23"/>
      <c r="M118" s="23"/>
      <c r="N118" s="84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84"/>
      <c r="AN118" s="23"/>
      <c r="AO118" s="23"/>
      <c r="AP118" s="23"/>
      <c r="AQ118" s="23"/>
      <c r="AR118" s="23"/>
      <c r="AS118" s="23"/>
      <c r="AT118" s="84"/>
      <c r="AU118" s="23"/>
      <c r="AV118" s="23"/>
      <c r="AW118" s="23"/>
      <c r="AX118" s="23"/>
      <c r="AY118" s="23"/>
      <c r="AZ118" s="23"/>
      <c r="BA118" s="23"/>
      <c r="BB118" s="23"/>
      <c r="BC118" s="84"/>
      <c r="BD118" s="61">
        <f>SUM('AC-SVC'!C118)*BD$7</f>
        <v>0</v>
      </c>
      <c r="BE118" s="61">
        <f>SUM('AC-SVC'!D118)</f>
        <v>0</v>
      </c>
      <c r="BF118" s="61">
        <f>SUM('AC-SVC'!G118)</f>
        <v>0</v>
      </c>
      <c r="BG118" s="61">
        <f>SUM('AC-SVC'!J118)</f>
        <v>0</v>
      </c>
      <c r="BH118" s="61">
        <f>SUM('AC-SVC'!M118)</f>
        <v>0</v>
      </c>
      <c r="BI118" s="61">
        <f>SUM('AC-SVC'!P118)*BI$7</f>
        <v>0</v>
      </c>
      <c r="BJ118" s="61">
        <f>SUM(PT!C118)</f>
        <v>0</v>
      </c>
      <c r="BK118" s="61">
        <f>SUM(CCLC!C118)</f>
        <v>0</v>
      </c>
      <c r="BL118" s="61">
        <f>SUM(FC!D118)</f>
        <v>0</v>
      </c>
      <c r="BM118" s="61">
        <f>SUM(FN!F118)*BM$7</f>
        <v>0</v>
      </c>
      <c r="BN118" s="61">
        <f>SUM(FS!D118)</f>
        <v>0</v>
      </c>
      <c r="BO118" s="61">
        <f>SUM(IT!D118)</f>
        <v>0</v>
      </c>
      <c r="BP118" s="84"/>
      <c r="BQ118" s="62">
        <f t="shared" si="195"/>
        <v>0</v>
      </c>
      <c r="BS118" s="95">
        <f>SUM(Sheet1!C118)</f>
        <v>5585.51</v>
      </c>
      <c r="BT118" s="288"/>
    </row>
    <row r="119" spans="1:72" ht="12">
      <c r="A119" s="31" t="s">
        <v>89</v>
      </c>
      <c r="B119" s="31" t="s">
        <v>90</v>
      </c>
      <c r="C119" s="23"/>
      <c r="D119" s="23">
        <f t="shared" si="196"/>
        <v>0</v>
      </c>
      <c r="E119" s="157">
        <f t="shared" si="193"/>
        <v>0</v>
      </c>
      <c r="F119" s="23">
        <f t="shared" si="197"/>
        <v>0</v>
      </c>
      <c r="G119" s="23"/>
      <c r="H119" s="23"/>
      <c r="I119" s="167"/>
      <c r="J119" s="23"/>
      <c r="K119" s="23"/>
      <c r="L119" s="23"/>
      <c r="M119" s="23"/>
      <c r="N119" s="84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84"/>
      <c r="AN119" s="23"/>
      <c r="AO119" s="23"/>
      <c r="AP119" s="23"/>
      <c r="AQ119" s="23"/>
      <c r="AR119" s="23"/>
      <c r="AS119" s="23"/>
      <c r="AT119" s="84"/>
      <c r="AU119" s="23"/>
      <c r="AV119" s="23"/>
      <c r="AW119" s="23"/>
      <c r="AX119" s="23"/>
      <c r="AY119" s="23"/>
      <c r="AZ119" s="23"/>
      <c r="BA119" s="23"/>
      <c r="BB119" s="23"/>
      <c r="BC119" s="84"/>
      <c r="BD119" s="61">
        <f>SUM('AC-SVC'!C119)*BD$7</f>
        <v>0</v>
      </c>
      <c r="BE119" s="61">
        <f>SUM('AC-SVC'!D119)</f>
        <v>0</v>
      </c>
      <c r="BF119" s="61">
        <f>SUM('AC-SVC'!G119)</f>
        <v>0</v>
      </c>
      <c r="BG119" s="61">
        <f>SUM('AC-SVC'!J119)</f>
        <v>0</v>
      </c>
      <c r="BH119" s="61">
        <f>SUM('AC-SVC'!M119)</f>
        <v>0</v>
      </c>
      <c r="BI119" s="61">
        <f>SUM('AC-SVC'!P119)*BI$7</f>
        <v>0</v>
      </c>
      <c r="BJ119" s="61">
        <f>SUM(PT!C119)</f>
        <v>0</v>
      </c>
      <c r="BK119" s="61">
        <f>SUM(CCLC!C119)</f>
        <v>0</v>
      </c>
      <c r="BL119" s="61">
        <f>SUM(FC!D119)</f>
        <v>0</v>
      </c>
      <c r="BM119" s="61">
        <f>SUM(FN!F119)*BM$7</f>
        <v>0</v>
      </c>
      <c r="BN119" s="61">
        <f>SUM(FS!D119)</f>
        <v>0</v>
      </c>
      <c r="BO119" s="61">
        <f>SUM(IT!D119)</f>
        <v>0</v>
      </c>
      <c r="BP119" s="84"/>
      <c r="BQ119" s="62">
        <f t="shared" si="195"/>
        <v>0</v>
      </c>
      <c r="BS119" s="95">
        <f>SUM(Sheet1!C119)</f>
        <v>4526.12</v>
      </c>
      <c r="BT119" s="288">
        <f>SUM(Sheet1!I119)</f>
        <v>5670.5328301886784</v>
      </c>
    </row>
    <row r="120" spans="1:72" ht="12">
      <c r="A120" s="31" t="s">
        <v>413</v>
      </c>
      <c r="B120" s="31" t="s">
        <v>414</v>
      </c>
      <c r="C120" s="23"/>
      <c r="D120" s="23">
        <f t="shared" si="196"/>
        <v>0</v>
      </c>
      <c r="E120" s="157">
        <f t="shared" si="193"/>
        <v>0</v>
      </c>
      <c r="F120" s="23">
        <f t="shared" si="197"/>
        <v>0</v>
      </c>
      <c r="G120" s="23"/>
      <c r="H120" s="23"/>
      <c r="I120" s="167"/>
      <c r="J120" s="23"/>
      <c r="K120" s="23"/>
      <c r="L120" s="23"/>
      <c r="M120" s="23"/>
      <c r="N120" s="84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84"/>
      <c r="AN120" s="23"/>
      <c r="AO120" s="23"/>
      <c r="AP120" s="23"/>
      <c r="AQ120" s="23"/>
      <c r="AR120" s="23"/>
      <c r="AS120" s="23"/>
      <c r="AT120" s="84"/>
      <c r="AU120" s="23"/>
      <c r="AV120" s="23"/>
      <c r="AW120" s="23"/>
      <c r="AX120" s="23"/>
      <c r="AY120" s="23"/>
      <c r="AZ120" s="23"/>
      <c r="BA120" s="23"/>
      <c r="BB120" s="23"/>
      <c r="BC120" s="84"/>
      <c r="BD120" s="61">
        <f>SUM('AC-SVC'!C120)*BD$7</f>
        <v>0</v>
      </c>
      <c r="BE120" s="61">
        <f>SUM('AC-SVC'!D120)</f>
        <v>0</v>
      </c>
      <c r="BF120" s="61">
        <f>SUM('AC-SVC'!G120)</f>
        <v>0</v>
      </c>
      <c r="BG120" s="61">
        <f>SUM('AC-SVC'!J120)</f>
        <v>0</v>
      </c>
      <c r="BH120" s="61">
        <f>SUM('AC-SVC'!M120)</f>
        <v>0</v>
      </c>
      <c r="BI120" s="61">
        <f>SUM('AC-SVC'!P120)*BI$7</f>
        <v>0</v>
      </c>
      <c r="BJ120" s="61">
        <f>SUM(PT!C120)</f>
        <v>0</v>
      </c>
      <c r="BK120" s="61">
        <f>SUM(CCLC!C120)</f>
        <v>0</v>
      </c>
      <c r="BL120" s="61">
        <f>SUM(FC!D120)</f>
        <v>0</v>
      </c>
      <c r="BM120" s="61">
        <f>SUM(FN!F120)*BM$7</f>
        <v>0</v>
      </c>
      <c r="BN120" s="61">
        <f>SUM(FS!D120)</f>
        <v>0</v>
      </c>
      <c r="BO120" s="61">
        <f>SUM(IT!D120)</f>
        <v>0</v>
      </c>
      <c r="BP120" s="84"/>
      <c r="BQ120" s="62">
        <f t="shared" si="195"/>
        <v>0</v>
      </c>
      <c r="BS120" s="95">
        <f>SUM(Sheet1!C120)</f>
        <v>450</v>
      </c>
      <c r="BT120" s="288">
        <v>0</v>
      </c>
    </row>
    <row r="121" spans="1:72" ht="12">
      <c r="A121" s="31" t="s">
        <v>52</v>
      </c>
      <c r="B121" s="31" t="s">
        <v>53</v>
      </c>
      <c r="C121" s="169"/>
      <c r="D121" s="169">
        <f t="shared" si="192"/>
        <v>0</v>
      </c>
      <c r="E121" s="169">
        <f t="shared" si="193"/>
        <v>0</v>
      </c>
      <c r="F121" s="169">
        <f t="shared" si="194"/>
        <v>0</v>
      </c>
      <c r="G121" s="169"/>
      <c r="H121" s="169"/>
      <c r="I121" s="167"/>
      <c r="J121" s="169"/>
      <c r="K121" s="169"/>
      <c r="L121" s="169"/>
      <c r="M121" s="169"/>
      <c r="N121" s="173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73"/>
      <c r="AN121" s="169"/>
      <c r="AO121" s="169"/>
      <c r="AP121" s="169"/>
      <c r="AQ121" s="169"/>
      <c r="AR121" s="169"/>
      <c r="AS121" s="169"/>
      <c r="AT121" s="173"/>
      <c r="AU121" s="169"/>
      <c r="AV121" s="169"/>
      <c r="AW121" s="169"/>
      <c r="AX121" s="169"/>
      <c r="AY121" s="169"/>
      <c r="AZ121" s="169"/>
      <c r="BA121" s="169"/>
      <c r="BB121" s="169"/>
      <c r="BC121" s="84"/>
      <c r="BD121" s="20">
        <f>SUM('AC-SVC'!C121)*BD$7</f>
        <v>0</v>
      </c>
      <c r="BE121" s="20">
        <f>SUM('AC-SVC'!D121)</f>
        <v>0</v>
      </c>
      <c r="BF121" s="20">
        <f>SUM('AC-SVC'!G121)</f>
        <v>0</v>
      </c>
      <c r="BG121" s="20">
        <f>SUM('AC-SVC'!J121)</f>
        <v>0</v>
      </c>
      <c r="BH121" s="20">
        <f>SUM('AC-SVC'!M121)</f>
        <v>0</v>
      </c>
      <c r="BI121" s="20">
        <f>SUM('AC-SVC'!P121)*BI$7</f>
        <v>0</v>
      </c>
      <c r="BJ121" s="20">
        <f>SUM(PT!C121)</f>
        <v>13500</v>
      </c>
      <c r="BK121" s="20">
        <f>SUM(CCLC!C121)</f>
        <v>0</v>
      </c>
      <c r="BL121" s="20">
        <f>SUM(FC!D121)</f>
        <v>0</v>
      </c>
      <c r="BM121" s="20">
        <f>SUM(FN!F121)*BM$7</f>
        <v>0</v>
      </c>
      <c r="BN121" s="20">
        <f>SUM(FS!D121)</f>
        <v>0</v>
      </c>
      <c r="BO121" s="20">
        <f>SUM(IT!D121)</f>
        <v>0</v>
      </c>
      <c r="BP121" s="84"/>
      <c r="BQ121" s="63">
        <f t="shared" si="195"/>
        <v>13500</v>
      </c>
      <c r="BS121" s="96">
        <f>SUM(Sheet1!C121)</f>
        <v>17377.41</v>
      </c>
      <c r="BT121" s="288">
        <f>+BS121</f>
        <v>17377.41</v>
      </c>
    </row>
    <row r="122" spans="1:72" s="30" customFormat="1" ht="10">
      <c r="A122" s="31"/>
      <c r="B122" s="31" t="s">
        <v>241</v>
      </c>
      <c r="C122" s="49">
        <f t="shared" ref="C122:BB122" si="198">SUM(C108:C121)</f>
        <v>0</v>
      </c>
      <c r="D122" s="49">
        <f t="shared" si="198"/>
        <v>1800</v>
      </c>
      <c r="E122" s="49">
        <f t="shared" si="198"/>
        <v>13500</v>
      </c>
      <c r="F122" s="49">
        <f t="shared" si="198"/>
        <v>3600</v>
      </c>
      <c r="G122" s="49">
        <f t="shared" si="198"/>
        <v>3750</v>
      </c>
      <c r="H122" s="49">
        <f t="shared" si="198"/>
        <v>2500</v>
      </c>
      <c r="I122" s="170"/>
      <c r="J122" s="49">
        <f t="shared" si="198"/>
        <v>450</v>
      </c>
      <c r="K122" s="49">
        <f t="shared" si="198"/>
        <v>450</v>
      </c>
      <c r="L122" s="49">
        <f t="shared" si="198"/>
        <v>450</v>
      </c>
      <c r="M122" s="49">
        <f t="shared" si="198"/>
        <v>450</v>
      </c>
      <c r="N122" s="171"/>
      <c r="O122" s="49">
        <f t="shared" si="198"/>
        <v>450</v>
      </c>
      <c r="P122" s="49">
        <f t="shared" si="198"/>
        <v>450</v>
      </c>
      <c r="Q122" s="49">
        <f t="shared" si="198"/>
        <v>450</v>
      </c>
      <c r="R122" s="49">
        <f t="shared" si="198"/>
        <v>450</v>
      </c>
      <c r="S122" s="49">
        <f t="shared" si="198"/>
        <v>450</v>
      </c>
      <c r="T122" s="49">
        <f t="shared" si="198"/>
        <v>450</v>
      </c>
      <c r="U122" s="49">
        <f t="shared" si="198"/>
        <v>450</v>
      </c>
      <c r="V122" s="49">
        <f t="shared" si="198"/>
        <v>450</v>
      </c>
      <c r="W122" s="49">
        <f t="shared" si="198"/>
        <v>450</v>
      </c>
      <c r="X122" s="49">
        <f t="shared" si="198"/>
        <v>450</v>
      </c>
      <c r="Y122" s="49">
        <f t="shared" si="198"/>
        <v>450</v>
      </c>
      <c r="Z122" s="49">
        <f t="shared" si="198"/>
        <v>450</v>
      </c>
      <c r="AA122" s="49">
        <f t="shared" si="198"/>
        <v>450</v>
      </c>
      <c r="AB122" s="49">
        <f t="shared" si="198"/>
        <v>450</v>
      </c>
      <c r="AC122" s="49">
        <f t="shared" si="198"/>
        <v>450</v>
      </c>
      <c r="AD122" s="49">
        <f t="shared" si="198"/>
        <v>450</v>
      </c>
      <c r="AE122" s="49">
        <f t="shared" si="198"/>
        <v>450</v>
      </c>
      <c r="AF122" s="49">
        <f t="shared" si="198"/>
        <v>450</v>
      </c>
      <c r="AG122" s="49">
        <f t="shared" si="198"/>
        <v>450</v>
      </c>
      <c r="AH122" s="49">
        <f t="shared" si="198"/>
        <v>450</v>
      </c>
      <c r="AI122" s="49">
        <f t="shared" si="198"/>
        <v>450</v>
      </c>
      <c r="AJ122" s="49">
        <f t="shared" si="198"/>
        <v>450</v>
      </c>
      <c r="AK122" s="49">
        <f t="shared" si="198"/>
        <v>450</v>
      </c>
      <c r="AL122" s="49">
        <f t="shared" si="198"/>
        <v>450</v>
      </c>
      <c r="AM122" s="171"/>
      <c r="AN122" s="49">
        <f t="shared" si="198"/>
        <v>450</v>
      </c>
      <c r="AO122" s="49">
        <f t="shared" si="198"/>
        <v>450</v>
      </c>
      <c r="AP122" s="49">
        <f t="shared" si="198"/>
        <v>450</v>
      </c>
      <c r="AQ122" s="49">
        <f t="shared" si="198"/>
        <v>450</v>
      </c>
      <c r="AR122" s="49">
        <f t="shared" si="198"/>
        <v>450</v>
      </c>
      <c r="AS122" s="49">
        <f t="shared" si="198"/>
        <v>450</v>
      </c>
      <c r="AT122" s="171"/>
      <c r="AU122" s="49">
        <f t="shared" si="198"/>
        <v>450</v>
      </c>
      <c r="AV122" s="49">
        <f t="shared" si="198"/>
        <v>450</v>
      </c>
      <c r="AW122" s="49">
        <f t="shared" si="198"/>
        <v>450</v>
      </c>
      <c r="AX122" s="49">
        <f t="shared" si="198"/>
        <v>450</v>
      </c>
      <c r="AY122" s="49">
        <f t="shared" si="198"/>
        <v>450</v>
      </c>
      <c r="AZ122" s="49">
        <f t="shared" si="198"/>
        <v>450</v>
      </c>
      <c r="BA122" s="49">
        <f t="shared" si="198"/>
        <v>450</v>
      </c>
      <c r="BB122" s="49">
        <f t="shared" si="198"/>
        <v>450</v>
      </c>
      <c r="BC122" s="171"/>
      <c r="BD122" s="41">
        <f t="shared" ref="BD122" si="199">+SUM(BD108:BD121)</f>
        <v>0</v>
      </c>
      <c r="BE122" s="41">
        <f t="shared" ref="BE122" si="200">+SUM(BE108:BE121)</f>
        <v>0</v>
      </c>
      <c r="BF122" s="41">
        <f t="shared" ref="BF122" si="201">+SUM(BF108:BF121)</f>
        <v>37800</v>
      </c>
      <c r="BG122" s="41">
        <f t="shared" ref="BG122" si="202">+SUM(BG108:BG121)</f>
        <v>0</v>
      </c>
      <c r="BH122" s="41">
        <f t="shared" ref="BH122:BI122" si="203">+SUM(BH108:BH121)</f>
        <v>3280</v>
      </c>
      <c r="BI122" s="41">
        <f t="shared" si="203"/>
        <v>0</v>
      </c>
      <c r="BJ122" s="41">
        <f t="shared" ref="BJ122:BO122" si="204">+SUM(BJ108:BJ121)</f>
        <v>13500</v>
      </c>
      <c r="BK122" s="41">
        <f t="shared" si="204"/>
        <v>0</v>
      </c>
      <c r="BL122" s="41">
        <f t="shared" si="204"/>
        <v>14500</v>
      </c>
      <c r="BM122" s="41">
        <f t="shared" si="204"/>
        <v>0</v>
      </c>
      <c r="BN122" s="41">
        <f t="shared" si="204"/>
        <v>250</v>
      </c>
      <c r="BO122" s="41">
        <f t="shared" si="204"/>
        <v>44100</v>
      </c>
      <c r="BP122" s="171"/>
      <c r="BQ122" s="49">
        <f>SUM(BQ108:BQ121)</f>
        <v>138580</v>
      </c>
      <c r="BS122" s="94">
        <f>SUM(BS108:BS121)</f>
        <v>376070.02</v>
      </c>
      <c r="BT122" s="293">
        <f>SUM(BT108:BT121)</f>
        <v>132646.83622641509</v>
      </c>
    </row>
    <row r="123" spans="1:72">
      <c r="C123" s="23"/>
      <c r="D123" s="23"/>
      <c r="E123" s="23"/>
      <c r="F123" s="23"/>
      <c r="G123" s="23"/>
      <c r="H123" s="23"/>
      <c r="I123" s="167"/>
      <c r="J123" s="23"/>
      <c r="K123" s="23"/>
      <c r="L123" s="23"/>
      <c r="M123" s="23"/>
      <c r="N123" s="84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84"/>
      <c r="AN123" s="23"/>
      <c r="AO123" s="23"/>
      <c r="AP123" s="23"/>
      <c r="AQ123" s="23"/>
      <c r="AR123" s="23"/>
      <c r="AS123" s="23"/>
      <c r="AT123" s="84"/>
      <c r="AU123" s="23"/>
      <c r="AV123" s="23"/>
      <c r="AW123" s="23"/>
      <c r="AX123" s="23"/>
      <c r="AY123" s="23"/>
      <c r="AZ123" s="23"/>
      <c r="BA123" s="23"/>
      <c r="BB123" s="23"/>
      <c r="BC123" s="84"/>
      <c r="BD123" s="21"/>
      <c r="BE123" s="23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84"/>
      <c r="BS123" s="94"/>
    </row>
    <row r="124" spans="1:72">
      <c r="A124" s="31" t="s">
        <v>242</v>
      </c>
      <c r="C124" s="23"/>
      <c r="D124" s="23"/>
      <c r="E124" s="23"/>
      <c r="F124" s="23"/>
      <c r="G124" s="23"/>
      <c r="H124" s="23"/>
      <c r="I124" s="167"/>
      <c r="J124" s="23"/>
      <c r="K124" s="23"/>
      <c r="L124" s="23"/>
      <c r="M124" s="23"/>
      <c r="N124" s="84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84"/>
      <c r="AN124" s="23"/>
      <c r="AO124" s="23"/>
      <c r="AP124" s="23"/>
      <c r="AQ124" s="23"/>
      <c r="AR124" s="23"/>
      <c r="AS124" s="23"/>
      <c r="AT124" s="84"/>
      <c r="AU124" s="23"/>
      <c r="AV124" s="23"/>
      <c r="AW124" s="23"/>
      <c r="AX124" s="23"/>
      <c r="AY124" s="23"/>
      <c r="AZ124" s="23"/>
      <c r="BA124" s="23"/>
      <c r="BB124" s="23"/>
      <c r="BC124" s="84"/>
      <c r="BD124" s="21"/>
      <c r="BE124" s="23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84"/>
      <c r="BS124" s="94"/>
    </row>
    <row r="125" spans="1:72" ht="12">
      <c r="A125" s="31" t="s">
        <v>56</v>
      </c>
      <c r="B125" s="31" t="s">
        <v>245</v>
      </c>
      <c r="C125" s="23"/>
      <c r="D125" s="23">
        <f t="shared" ref="D125:D132" si="205">SUM(J125:M125)</f>
        <v>0</v>
      </c>
      <c r="E125" s="157">
        <f t="shared" ref="E125:E132" si="206">SUM(O125:AS125)</f>
        <v>0</v>
      </c>
      <c r="F125" s="23">
        <f t="shared" ref="F125:F132" si="207">SUM(AU125:BB125)</f>
        <v>0</v>
      </c>
      <c r="G125" s="23"/>
      <c r="H125" s="23"/>
      <c r="I125" s="167"/>
      <c r="J125" s="23"/>
      <c r="K125" s="23"/>
      <c r="L125" s="23"/>
      <c r="M125" s="23"/>
      <c r="N125" s="84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84"/>
      <c r="AN125" s="23"/>
      <c r="AO125" s="23"/>
      <c r="AP125" s="23"/>
      <c r="AQ125" s="23"/>
      <c r="AR125" s="23"/>
      <c r="AS125" s="23"/>
      <c r="AT125" s="84"/>
      <c r="AU125" s="23"/>
      <c r="AV125" s="23"/>
      <c r="AW125" s="23"/>
      <c r="AX125" s="23"/>
      <c r="AY125" s="23"/>
      <c r="AZ125" s="23"/>
      <c r="BA125" s="23"/>
      <c r="BB125" s="23"/>
      <c r="BC125" s="84"/>
      <c r="BD125" s="61">
        <f>SUM('AC-SVC'!C125)*BD$7</f>
        <v>0</v>
      </c>
      <c r="BE125" s="61">
        <f>SUM('AC-SVC'!D125)</f>
        <v>0</v>
      </c>
      <c r="BF125" s="61">
        <f>SUM('AC-SVC'!G125)</f>
        <v>0</v>
      </c>
      <c r="BG125" s="61">
        <f>SUM('AC-SVC'!J125)</f>
        <v>0</v>
      </c>
      <c r="BH125" s="61">
        <f>SUM('AC-SVC'!M125)</f>
        <v>0</v>
      </c>
      <c r="BI125" s="61">
        <f>SUM('AC-SVC'!P125)*BI$7</f>
        <v>0</v>
      </c>
      <c r="BJ125" s="61">
        <f>SUM(PT!C125)</f>
        <v>0</v>
      </c>
      <c r="BK125" s="61">
        <f>SUM(CCLC!C125)</f>
        <v>0</v>
      </c>
      <c r="BL125" s="61">
        <f>SUM(FC!D125)</f>
        <v>8000</v>
      </c>
      <c r="BM125" s="61">
        <f>SUM(FN!F125)*BM$7</f>
        <v>0</v>
      </c>
      <c r="BN125" s="61">
        <f>SUM(FS!D125)</f>
        <v>0</v>
      </c>
      <c r="BO125" s="61">
        <f>SUM(IT!D125)</f>
        <v>0</v>
      </c>
      <c r="BP125" s="84"/>
      <c r="BQ125" s="62">
        <f t="shared" ref="BQ125:BQ132" si="208">SUM(C125:H125)+SUM(BD125:BO125)</f>
        <v>8000</v>
      </c>
      <c r="BS125" s="95">
        <f>SUM(Sheet1!C125)</f>
        <v>398.88</v>
      </c>
      <c r="BT125" s="288">
        <f>SUM(Sheet1!I125)</f>
        <v>3844.0875471698114</v>
      </c>
    </row>
    <row r="126" spans="1:72" ht="12">
      <c r="A126" s="31" t="s">
        <v>57</v>
      </c>
      <c r="B126" s="31" t="s">
        <v>246</v>
      </c>
      <c r="C126" s="23"/>
      <c r="D126" s="23">
        <f t="shared" si="205"/>
        <v>0</v>
      </c>
      <c r="E126" s="157">
        <f t="shared" si="206"/>
        <v>0</v>
      </c>
      <c r="F126" s="23">
        <f t="shared" si="207"/>
        <v>0</v>
      </c>
      <c r="G126" s="23"/>
      <c r="H126" s="23"/>
      <c r="I126" s="167"/>
      <c r="J126" s="23"/>
      <c r="K126" s="23"/>
      <c r="L126" s="23"/>
      <c r="M126" s="23"/>
      <c r="N126" s="84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84"/>
      <c r="AN126" s="23"/>
      <c r="AO126" s="23"/>
      <c r="AP126" s="23"/>
      <c r="AQ126" s="23"/>
      <c r="AR126" s="23"/>
      <c r="AS126" s="23"/>
      <c r="AT126" s="84"/>
      <c r="AU126" s="23"/>
      <c r="AV126" s="23"/>
      <c r="AW126" s="23"/>
      <c r="AX126" s="23"/>
      <c r="AY126" s="23"/>
      <c r="AZ126" s="23"/>
      <c r="BA126" s="23"/>
      <c r="BB126" s="23"/>
      <c r="BC126" s="84"/>
      <c r="BD126" s="61">
        <f>SUM('AC-SVC'!C126)*BD$7</f>
        <v>0</v>
      </c>
      <c r="BE126" s="61">
        <f>SUM('AC-SVC'!D126)</f>
        <v>0</v>
      </c>
      <c r="BF126" s="61">
        <f>SUM('AC-SVC'!G126)</f>
        <v>0</v>
      </c>
      <c r="BG126" s="61">
        <f>SUM('AC-SVC'!J126)</f>
        <v>0</v>
      </c>
      <c r="BH126" s="61">
        <f>SUM('AC-SVC'!M126)</f>
        <v>0</v>
      </c>
      <c r="BI126" s="61">
        <f>SUM('AC-SVC'!P126)*BI$7</f>
        <v>0</v>
      </c>
      <c r="BJ126" s="61">
        <f>SUM(PT!C126)</f>
        <v>0</v>
      </c>
      <c r="BK126" s="61">
        <f>SUM(CCLC!C126)</f>
        <v>0</v>
      </c>
      <c r="BL126" s="61">
        <f>SUM(FC!D126)</f>
        <v>6000</v>
      </c>
      <c r="BM126" s="61">
        <f>SUM(FN!F126)*BM$7</f>
        <v>0</v>
      </c>
      <c r="BN126" s="61">
        <f>SUM(FS!D126)</f>
        <v>0</v>
      </c>
      <c r="BO126" s="61">
        <f>SUM(IT!D126)</f>
        <v>0</v>
      </c>
      <c r="BP126" s="84"/>
      <c r="BQ126" s="62">
        <f t="shared" si="208"/>
        <v>6000</v>
      </c>
      <c r="BS126" s="95">
        <f>SUM(Sheet1!C126)</f>
        <v>6042.48</v>
      </c>
      <c r="BT126" s="288">
        <f>SUM(Sheet1!I126)</f>
        <v>8773.9109433962258</v>
      </c>
    </row>
    <row r="127" spans="1:72" ht="12">
      <c r="A127" s="31" t="s">
        <v>58</v>
      </c>
      <c r="B127" s="31" t="s">
        <v>247</v>
      </c>
      <c r="C127" s="23"/>
      <c r="D127" s="23">
        <f t="shared" si="205"/>
        <v>0</v>
      </c>
      <c r="E127" s="157">
        <f t="shared" si="206"/>
        <v>0</v>
      </c>
      <c r="F127" s="23">
        <f t="shared" si="207"/>
        <v>0</v>
      </c>
      <c r="G127" s="23"/>
      <c r="H127" s="23"/>
      <c r="I127" s="167"/>
      <c r="J127" s="23"/>
      <c r="K127" s="23"/>
      <c r="L127" s="23"/>
      <c r="M127" s="23"/>
      <c r="N127" s="84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84"/>
      <c r="AN127" s="23"/>
      <c r="AO127" s="23"/>
      <c r="AP127" s="23"/>
      <c r="AQ127" s="23"/>
      <c r="AR127" s="23"/>
      <c r="AS127" s="23"/>
      <c r="AT127" s="84"/>
      <c r="AU127" s="23"/>
      <c r="AV127" s="23"/>
      <c r="AW127" s="23"/>
      <c r="AX127" s="23"/>
      <c r="AY127" s="23"/>
      <c r="AZ127" s="23"/>
      <c r="BA127" s="23"/>
      <c r="BB127" s="23"/>
      <c r="BC127" s="84"/>
      <c r="BD127" s="61">
        <f>SUM('AC-SVC'!C127)*BD$7</f>
        <v>0</v>
      </c>
      <c r="BE127" s="61">
        <f>SUM('AC-SVC'!D127)</f>
        <v>0</v>
      </c>
      <c r="BF127" s="61">
        <f>SUM('AC-SVC'!G127)</f>
        <v>0</v>
      </c>
      <c r="BG127" s="61">
        <f>SUM('AC-SVC'!J127)</f>
        <v>0</v>
      </c>
      <c r="BH127" s="61">
        <f>SUM('AC-SVC'!M127)</f>
        <v>0</v>
      </c>
      <c r="BI127" s="61">
        <f>SUM('AC-SVC'!P127)*BI$7</f>
        <v>0</v>
      </c>
      <c r="BJ127" s="61">
        <f>SUM(PT!C127)</f>
        <v>0</v>
      </c>
      <c r="BK127" s="61">
        <f>SUM(CCLC!C127)</f>
        <v>0</v>
      </c>
      <c r="BL127" s="61">
        <f>SUM(FC!D127)</f>
        <v>300</v>
      </c>
      <c r="BM127" s="61">
        <f>SUM(FN!F127)*BM$7</f>
        <v>0</v>
      </c>
      <c r="BN127" s="61">
        <f>SUM(FS!D127)</f>
        <v>100</v>
      </c>
      <c r="BO127" s="61">
        <f>SUM(IT!D127)</f>
        <v>0</v>
      </c>
      <c r="BP127" s="84"/>
      <c r="BQ127" s="62">
        <f t="shared" si="208"/>
        <v>400</v>
      </c>
      <c r="BS127" s="95">
        <f>SUM(Sheet1!C127)</f>
        <v>1776.56</v>
      </c>
      <c r="BT127" s="288">
        <f>SUM(Sheet1!I127)</f>
        <v>1656.4467924528301</v>
      </c>
    </row>
    <row r="128" spans="1:72" ht="12">
      <c r="A128" s="31" t="s">
        <v>55</v>
      </c>
      <c r="B128" s="31" t="s">
        <v>244</v>
      </c>
      <c r="C128" s="23"/>
      <c r="D128" s="23">
        <f t="shared" si="205"/>
        <v>0</v>
      </c>
      <c r="E128" s="157">
        <f t="shared" si="206"/>
        <v>0</v>
      </c>
      <c r="F128" s="23">
        <f t="shared" si="207"/>
        <v>0</v>
      </c>
      <c r="G128" s="23"/>
      <c r="H128" s="23"/>
      <c r="I128" s="167"/>
      <c r="J128" s="23"/>
      <c r="K128" s="23"/>
      <c r="L128" s="23"/>
      <c r="M128" s="23"/>
      <c r="N128" s="84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84"/>
      <c r="AN128" s="23"/>
      <c r="AO128" s="23"/>
      <c r="AP128" s="23"/>
      <c r="AQ128" s="23"/>
      <c r="AR128" s="23"/>
      <c r="AS128" s="23"/>
      <c r="AT128" s="84"/>
      <c r="AU128" s="23"/>
      <c r="AV128" s="23"/>
      <c r="AW128" s="23"/>
      <c r="AX128" s="23"/>
      <c r="AY128" s="23"/>
      <c r="AZ128" s="23"/>
      <c r="BA128" s="23"/>
      <c r="BB128" s="23"/>
      <c r="BC128" s="84"/>
      <c r="BD128" s="61">
        <f>SUM('AC-SVC'!C128)*BD$7</f>
        <v>0</v>
      </c>
      <c r="BE128" s="61">
        <f>SUM('AC-SVC'!D128)</f>
        <v>0</v>
      </c>
      <c r="BF128" s="61">
        <f>SUM('AC-SVC'!G128)</f>
        <v>0</v>
      </c>
      <c r="BG128" s="61">
        <f>SUM('AC-SVC'!J128)</f>
        <v>0</v>
      </c>
      <c r="BH128" s="61">
        <f>SUM('AC-SVC'!M128)</f>
        <v>0</v>
      </c>
      <c r="BI128" s="61">
        <f>SUM('AC-SVC'!P128)*BI$7</f>
        <v>0</v>
      </c>
      <c r="BJ128" s="61">
        <f>SUM(PT!C128)</f>
        <v>0</v>
      </c>
      <c r="BK128" s="61">
        <f>SUM(CCLC!C128)</f>
        <v>0</v>
      </c>
      <c r="BL128" s="61">
        <f>SUM(FC!D128)</f>
        <v>7250</v>
      </c>
      <c r="BM128" s="61">
        <f>SUM(FN!F128)*BM$7</f>
        <v>0</v>
      </c>
      <c r="BN128" s="61">
        <f>SUM(FS!D128)</f>
        <v>0</v>
      </c>
      <c r="BO128" s="61">
        <f>SUM(IT!D128)</f>
        <v>0</v>
      </c>
      <c r="BP128" s="84"/>
      <c r="BQ128" s="62">
        <f t="shared" si="208"/>
        <v>7250</v>
      </c>
      <c r="BS128" s="95">
        <f>SUM(Sheet1!C128)</f>
        <v>4498.3999999999996</v>
      </c>
      <c r="BT128" s="288">
        <f>SUM(Sheet1!I128)</f>
        <v>2747.6890566037737</v>
      </c>
    </row>
    <row r="129" spans="1:72" ht="10.5" customHeight="1">
      <c r="A129" s="31" t="s">
        <v>54</v>
      </c>
      <c r="B129" s="31" t="s">
        <v>243</v>
      </c>
      <c r="C129" s="23"/>
      <c r="D129" s="23">
        <f t="shared" si="205"/>
        <v>0</v>
      </c>
      <c r="E129" s="157">
        <f t="shared" si="206"/>
        <v>0</v>
      </c>
      <c r="F129" s="23">
        <f t="shared" si="207"/>
        <v>0</v>
      </c>
      <c r="G129" s="23"/>
      <c r="H129" s="23"/>
      <c r="I129" s="167"/>
      <c r="J129" s="23"/>
      <c r="K129" s="23"/>
      <c r="L129" s="23"/>
      <c r="M129" s="23"/>
      <c r="N129" s="84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84"/>
      <c r="AN129" s="23"/>
      <c r="AO129" s="23"/>
      <c r="AP129" s="23"/>
      <c r="AQ129" s="23"/>
      <c r="AR129" s="23"/>
      <c r="AS129" s="23"/>
      <c r="AT129" s="84"/>
      <c r="AU129" s="23"/>
      <c r="AV129" s="23"/>
      <c r="AW129" s="23"/>
      <c r="AX129" s="23"/>
      <c r="AY129" s="23"/>
      <c r="AZ129" s="23"/>
      <c r="BA129" s="23"/>
      <c r="BB129" s="23"/>
      <c r="BC129" s="84"/>
      <c r="BD129" s="61">
        <f>SUM('AC-SVC'!C129)*BD$7</f>
        <v>0</v>
      </c>
      <c r="BE129" s="61">
        <f>SUM('AC-SVC'!D129)</f>
        <v>0</v>
      </c>
      <c r="BF129" s="61">
        <f>SUM('AC-SVC'!G129)</f>
        <v>0</v>
      </c>
      <c r="BG129" s="61">
        <f>SUM('AC-SVC'!J129)</f>
        <v>0</v>
      </c>
      <c r="BH129" s="61">
        <f>SUM('AC-SVC'!M129)</f>
        <v>0</v>
      </c>
      <c r="BI129" s="61">
        <f>SUM('AC-SVC'!P129)*BI$7</f>
        <v>0</v>
      </c>
      <c r="BJ129" s="61">
        <f>SUM(PT!C129)</f>
        <v>0</v>
      </c>
      <c r="BK129" s="61">
        <f>SUM(CCLC!C129)</f>
        <v>0</v>
      </c>
      <c r="BL129" s="61">
        <f>SUM(FC!D129)</f>
        <v>50000</v>
      </c>
      <c r="BM129" s="61">
        <f>SUM(FN!F129)*BM$7</f>
        <v>0</v>
      </c>
      <c r="BN129" s="61">
        <f>SUM(FS!D129)</f>
        <v>0</v>
      </c>
      <c r="BO129" s="61">
        <f>SUM(IT!D129)</f>
        <v>0</v>
      </c>
      <c r="BP129" s="84"/>
      <c r="BQ129" s="62">
        <f t="shared" si="208"/>
        <v>50000</v>
      </c>
      <c r="BS129" s="95">
        <f>SUM(Sheet1!C129)</f>
        <v>55989.15</v>
      </c>
      <c r="BT129" s="288">
        <f>SUM(Sheet1!I129)</f>
        <v>47062.599245283018</v>
      </c>
    </row>
    <row r="130" spans="1:72" ht="12">
      <c r="A130" s="31" t="s">
        <v>60</v>
      </c>
      <c r="B130" s="31" t="s">
        <v>61</v>
      </c>
      <c r="C130" s="23">
        <v>19000</v>
      </c>
      <c r="D130" s="23">
        <f t="shared" si="205"/>
        <v>0</v>
      </c>
      <c r="E130" s="157">
        <f t="shared" si="206"/>
        <v>0</v>
      </c>
      <c r="F130" s="23">
        <f t="shared" si="207"/>
        <v>0</v>
      </c>
      <c r="G130" s="23"/>
      <c r="H130" s="23"/>
      <c r="I130" s="167"/>
      <c r="J130" s="23"/>
      <c r="K130" s="23"/>
      <c r="L130" s="23"/>
      <c r="M130" s="23"/>
      <c r="N130" s="84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84"/>
      <c r="AN130" s="23"/>
      <c r="AO130" s="23"/>
      <c r="AP130" s="23"/>
      <c r="AQ130" s="23"/>
      <c r="AR130" s="23"/>
      <c r="AS130" s="23"/>
      <c r="AT130" s="84"/>
      <c r="AU130" s="23"/>
      <c r="AV130" s="23"/>
      <c r="AW130" s="23"/>
      <c r="AX130" s="23"/>
      <c r="AY130" s="23"/>
      <c r="AZ130" s="23"/>
      <c r="BA130" s="23"/>
      <c r="BB130" s="23"/>
      <c r="BC130" s="84"/>
      <c r="BD130" s="61">
        <f>SUM('AC-SVC'!C130)*BD$7</f>
        <v>0</v>
      </c>
      <c r="BE130" s="61">
        <f>SUM('AC-SVC'!D130)</f>
        <v>0</v>
      </c>
      <c r="BF130" s="61">
        <f>SUM('AC-SVC'!G130)</f>
        <v>0</v>
      </c>
      <c r="BG130" s="61">
        <f>SUM('AC-SVC'!J130)</f>
        <v>0</v>
      </c>
      <c r="BH130" s="61">
        <f>SUM('AC-SVC'!M130)</f>
        <v>0</v>
      </c>
      <c r="BI130" s="61">
        <f>SUM('AC-SVC'!P130)*BI$7</f>
        <v>0</v>
      </c>
      <c r="BJ130" s="61">
        <f>SUM(PT!C130)</f>
        <v>0</v>
      </c>
      <c r="BK130" s="61">
        <f>SUM(CCLC!C130)</f>
        <v>0</v>
      </c>
      <c r="BL130" s="61">
        <f>SUM(FC!D130)</f>
        <v>47274</v>
      </c>
      <c r="BM130" s="61">
        <f>SUM(FN!F130)*BM$7</f>
        <v>0</v>
      </c>
      <c r="BN130" s="61">
        <f>SUM(FS!D130)</f>
        <v>6500</v>
      </c>
      <c r="BO130" s="61">
        <f>SUM(IT!D130)</f>
        <v>0</v>
      </c>
      <c r="BP130" s="84"/>
      <c r="BQ130" s="62">
        <f t="shared" si="208"/>
        <v>72774</v>
      </c>
      <c r="BS130" s="95">
        <f>SUM(Sheet1!C130)</f>
        <v>169764.59</v>
      </c>
      <c r="BT130" s="288">
        <f>SUM(Sheet1!I130)</f>
        <v>115338.36679245281</v>
      </c>
    </row>
    <row r="131" spans="1:72" ht="12">
      <c r="A131" s="31" t="s">
        <v>411</v>
      </c>
      <c r="B131" s="31" t="s">
        <v>412</v>
      </c>
      <c r="C131" s="23"/>
      <c r="D131" s="23">
        <f t="shared" ref="D131" si="209">SUM(J131:M131)</f>
        <v>0</v>
      </c>
      <c r="E131" s="157">
        <f t="shared" si="206"/>
        <v>0</v>
      </c>
      <c r="F131" s="23">
        <f t="shared" ref="F131" si="210">SUM(AU131:BB131)</f>
        <v>0</v>
      </c>
      <c r="G131" s="23"/>
      <c r="H131" s="23"/>
      <c r="I131" s="167"/>
      <c r="J131" s="23"/>
      <c r="K131" s="23"/>
      <c r="L131" s="23"/>
      <c r="M131" s="23"/>
      <c r="N131" s="84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84"/>
      <c r="AN131" s="23"/>
      <c r="AO131" s="23"/>
      <c r="AP131" s="23"/>
      <c r="AQ131" s="23"/>
      <c r="AR131" s="23"/>
      <c r="AS131" s="23"/>
      <c r="AT131" s="84"/>
      <c r="AU131" s="23"/>
      <c r="AV131" s="23"/>
      <c r="AW131" s="23"/>
      <c r="AX131" s="23"/>
      <c r="AY131" s="23"/>
      <c r="AZ131" s="23"/>
      <c r="BA131" s="23"/>
      <c r="BB131" s="23"/>
      <c r="BC131" s="84"/>
      <c r="BD131" s="61">
        <f>SUM('AC-SVC'!C131)*BD$7</f>
        <v>0</v>
      </c>
      <c r="BE131" s="61">
        <f>SUM('AC-SVC'!D131)</f>
        <v>0</v>
      </c>
      <c r="BF131" s="61">
        <f>SUM('AC-SVC'!G131)</f>
        <v>0</v>
      </c>
      <c r="BG131" s="61">
        <f>SUM('AC-SVC'!J131)</f>
        <v>0</v>
      </c>
      <c r="BH131" s="61">
        <f>SUM('AC-SVC'!M131)</f>
        <v>0</v>
      </c>
      <c r="BI131" s="61">
        <f>SUM('AC-SVC'!P131)*BI$7</f>
        <v>0</v>
      </c>
      <c r="BJ131" s="61">
        <f>SUM(PT!C131)</f>
        <v>0</v>
      </c>
      <c r="BK131" s="61">
        <f>SUM(CCLC!C131)</f>
        <v>0</v>
      </c>
      <c r="BL131" s="61">
        <f>SUM(FC!D131)</f>
        <v>454228</v>
      </c>
      <c r="BM131" s="61">
        <f>SUM(FN!F131)*BM$7</f>
        <v>0</v>
      </c>
      <c r="BN131" s="61">
        <f>SUM(FS!D131)</f>
        <v>0</v>
      </c>
      <c r="BO131" s="61">
        <f>SUM(IT!D131)</f>
        <v>0</v>
      </c>
      <c r="BP131" s="84"/>
      <c r="BQ131" s="62">
        <f t="shared" si="208"/>
        <v>454228</v>
      </c>
      <c r="BS131" s="95">
        <f>SUM(Sheet1!C131)</f>
        <v>0</v>
      </c>
      <c r="BT131" s="288">
        <f>SUM(Sheet1!I131)</f>
        <v>173796.08150943398</v>
      </c>
    </row>
    <row r="132" spans="1:72" ht="12">
      <c r="A132" s="31" t="s">
        <v>62</v>
      </c>
      <c r="B132" s="31" t="s">
        <v>248</v>
      </c>
      <c r="C132" s="169">
        <f>1300*12+70*4+500*12</f>
        <v>21880</v>
      </c>
      <c r="D132" s="169">
        <f t="shared" si="205"/>
        <v>0</v>
      </c>
      <c r="E132" s="169">
        <f t="shared" si="206"/>
        <v>0</v>
      </c>
      <c r="F132" s="169">
        <f t="shared" si="207"/>
        <v>0</v>
      </c>
      <c r="G132" s="169"/>
      <c r="H132" s="169"/>
      <c r="I132" s="167"/>
      <c r="J132" s="169"/>
      <c r="K132" s="169"/>
      <c r="L132" s="169"/>
      <c r="M132" s="169"/>
      <c r="N132" s="173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73"/>
      <c r="AN132" s="169"/>
      <c r="AO132" s="169"/>
      <c r="AP132" s="169"/>
      <c r="AQ132" s="169"/>
      <c r="AR132" s="169"/>
      <c r="AS132" s="169"/>
      <c r="AT132" s="173"/>
      <c r="AU132" s="169"/>
      <c r="AV132" s="169"/>
      <c r="AW132" s="169"/>
      <c r="AX132" s="169"/>
      <c r="AY132" s="169"/>
      <c r="AZ132" s="169"/>
      <c r="BA132" s="169"/>
      <c r="BB132" s="169"/>
      <c r="BC132" s="84"/>
      <c r="BD132" s="20">
        <f>SUM('AC-SVC'!C132)*BD$7</f>
        <v>0</v>
      </c>
      <c r="BE132" s="20">
        <f>SUM('AC-SVC'!D132)</f>
        <v>0</v>
      </c>
      <c r="BF132" s="20">
        <f>SUM('AC-SVC'!G132)</f>
        <v>0</v>
      </c>
      <c r="BG132" s="20">
        <f>SUM('AC-SVC'!J132)</f>
        <v>0</v>
      </c>
      <c r="BH132" s="20">
        <f>SUM('AC-SVC'!M132)</f>
        <v>0</v>
      </c>
      <c r="BI132" s="20">
        <f>SUM('AC-SVC'!P132)*BI$7</f>
        <v>0</v>
      </c>
      <c r="BJ132" s="20">
        <f>SUM(PT!C132)</f>
        <v>0</v>
      </c>
      <c r="BK132" s="20">
        <f>SUM(CCLC!C132)</f>
        <v>0</v>
      </c>
      <c r="BL132" s="20">
        <f>SUM(FC!D132)</f>
        <v>2000</v>
      </c>
      <c r="BM132" s="20">
        <f>SUM(FN!F132)*BM$7</f>
        <v>0</v>
      </c>
      <c r="BN132" s="20">
        <f>SUM(FS!D132)</f>
        <v>0</v>
      </c>
      <c r="BO132" s="20">
        <f>SUM(IT!D132)</f>
        <v>0</v>
      </c>
      <c r="BP132" s="84"/>
      <c r="BQ132" s="63">
        <f t="shared" si="208"/>
        <v>23880</v>
      </c>
      <c r="BS132" s="96">
        <f>SUM(Sheet1!C132)</f>
        <v>12248.45</v>
      </c>
      <c r="BT132" s="288">
        <f>SUM(Sheet1!I132)</f>
        <v>15312.271698113209</v>
      </c>
    </row>
    <row r="133" spans="1:72" s="30" customFormat="1" ht="10">
      <c r="A133" s="31"/>
      <c r="B133" s="31" t="s">
        <v>249</v>
      </c>
      <c r="C133" s="49">
        <f t="shared" ref="C133:BB133" si="211">SUM(C125:C132)</f>
        <v>40880</v>
      </c>
      <c r="D133" s="49">
        <f t="shared" si="211"/>
        <v>0</v>
      </c>
      <c r="E133" s="49">
        <f t="shared" si="211"/>
        <v>0</v>
      </c>
      <c r="F133" s="49">
        <f t="shared" si="211"/>
        <v>0</v>
      </c>
      <c r="G133" s="49">
        <f t="shared" si="211"/>
        <v>0</v>
      </c>
      <c r="H133" s="49">
        <f t="shared" si="211"/>
        <v>0</v>
      </c>
      <c r="I133" s="170"/>
      <c r="J133" s="49">
        <f t="shared" si="211"/>
        <v>0</v>
      </c>
      <c r="K133" s="49">
        <f t="shared" si="211"/>
        <v>0</v>
      </c>
      <c r="L133" s="49">
        <f t="shared" si="211"/>
        <v>0</v>
      </c>
      <c r="M133" s="49">
        <f t="shared" si="211"/>
        <v>0</v>
      </c>
      <c r="N133" s="171"/>
      <c r="O133" s="49">
        <f t="shared" si="211"/>
        <v>0</v>
      </c>
      <c r="P133" s="49">
        <f t="shared" si="211"/>
        <v>0</v>
      </c>
      <c r="Q133" s="49">
        <f t="shared" si="211"/>
        <v>0</v>
      </c>
      <c r="R133" s="49">
        <f t="shared" si="211"/>
        <v>0</v>
      </c>
      <c r="S133" s="49">
        <f t="shared" si="211"/>
        <v>0</v>
      </c>
      <c r="T133" s="49">
        <f t="shared" si="211"/>
        <v>0</v>
      </c>
      <c r="U133" s="49">
        <f t="shared" si="211"/>
        <v>0</v>
      </c>
      <c r="V133" s="49">
        <f t="shared" si="211"/>
        <v>0</v>
      </c>
      <c r="W133" s="49">
        <f t="shared" si="211"/>
        <v>0</v>
      </c>
      <c r="X133" s="49">
        <f t="shared" si="211"/>
        <v>0</v>
      </c>
      <c r="Y133" s="49">
        <f t="shared" si="211"/>
        <v>0</v>
      </c>
      <c r="Z133" s="49">
        <f t="shared" si="211"/>
        <v>0</v>
      </c>
      <c r="AA133" s="49">
        <f t="shared" si="211"/>
        <v>0</v>
      </c>
      <c r="AB133" s="49">
        <f t="shared" si="211"/>
        <v>0</v>
      </c>
      <c r="AC133" s="49">
        <f t="shared" si="211"/>
        <v>0</v>
      </c>
      <c r="AD133" s="49">
        <f t="shared" si="211"/>
        <v>0</v>
      </c>
      <c r="AE133" s="49">
        <f t="shared" si="211"/>
        <v>0</v>
      </c>
      <c r="AF133" s="49">
        <f t="shared" si="211"/>
        <v>0</v>
      </c>
      <c r="AG133" s="49">
        <f t="shared" si="211"/>
        <v>0</v>
      </c>
      <c r="AH133" s="49">
        <f t="shared" si="211"/>
        <v>0</v>
      </c>
      <c r="AI133" s="49">
        <f t="shared" si="211"/>
        <v>0</v>
      </c>
      <c r="AJ133" s="49">
        <f t="shared" si="211"/>
        <v>0</v>
      </c>
      <c r="AK133" s="49">
        <f t="shared" si="211"/>
        <v>0</v>
      </c>
      <c r="AL133" s="49">
        <f t="shared" si="211"/>
        <v>0</v>
      </c>
      <c r="AM133" s="171"/>
      <c r="AN133" s="49">
        <f t="shared" si="211"/>
        <v>0</v>
      </c>
      <c r="AO133" s="49">
        <f t="shared" si="211"/>
        <v>0</v>
      </c>
      <c r="AP133" s="49">
        <f t="shared" si="211"/>
        <v>0</v>
      </c>
      <c r="AQ133" s="49">
        <f t="shared" si="211"/>
        <v>0</v>
      </c>
      <c r="AR133" s="49">
        <f t="shared" si="211"/>
        <v>0</v>
      </c>
      <c r="AS133" s="49">
        <f t="shared" si="211"/>
        <v>0</v>
      </c>
      <c r="AT133" s="171"/>
      <c r="AU133" s="49">
        <f t="shared" si="211"/>
        <v>0</v>
      </c>
      <c r="AV133" s="49">
        <f t="shared" si="211"/>
        <v>0</v>
      </c>
      <c r="AW133" s="49">
        <f t="shared" si="211"/>
        <v>0</v>
      </c>
      <c r="AX133" s="49">
        <f t="shared" si="211"/>
        <v>0</v>
      </c>
      <c r="AY133" s="49">
        <f t="shared" si="211"/>
        <v>0</v>
      </c>
      <c r="AZ133" s="49">
        <f t="shared" si="211"/>
        <v>0</v>
      </c>
      <c r="BA133" s="49">
        <f t="shared" si="211"/>
        <v>0</v>
      </c>
      <c r="BB133" s="49">
        <f t="shared" si="211"/>
        <v>0</v>
      </c>
      <c r="BC133" s="171"/>
      <c r="BD133" s="41">
        <f>SUM(BD125:BD132)</f>
        <v>0</v>
      </c>
      <c r="BE133" s="41">
        <f t="shared" ref="BE133:BO133" si="212">SUM(BE125:BE132)</f>
        <v>0</v>
      </c>
      <c r="BF133" s="41">
        <f t="shared" si="212"/>
        <v>0</v>
      </c>
      <c r="BG133" s="41">
        <f t="shared" si="212"/>
        <v>0</v>
      </c>
      <c r="BH133" s="41">
        <f t="shared" si="212"/>
        <v>0</v>
      </c>
      <c r="BI133" s="41">
        <f t="shared" si="212"/>
        <v>0</v>
      </c>
      <c r="BJ133" s="41">
        <f t="shared" si="212"/>
        <v>0</v>
      </c>
      <c r="BK133" s="41">
        <f t="shared" si="212"/>
        <v>0</v>
      </c>
      <c r="BL133" s="41">
        <f t="shared" si="212"/>
        <v>575052</v>
      </c>
      <c r="BM133" s="41">
        <f t="shared" si="212"/>
        <v>0</v>
      </c>
      <c r="BN133" s="41">
        <f t="shared" si="212"/>
        <v>6600</v>
      </c>
      <c r="BO133" s="41">
        <f t="shared" si="212"/>
        <v>0</v>
      </c>
      <c r="BP133" s="171"/>
      <c r="BQ133" s="49">
        <f>SUM(BQ125:BQ132)</f>
        <v>622532</v>
      </c>
      <c r="BS133" s="94">
        <f>SUM(BS125:BS132)</f>
        <v>250718.51</v>
      </c>
      <c r="BT133" s="293">
        <f>SUM(BT125:BT132)</f>
        <v>368531.4535849056</v>
      </c>
    </row>
    <row r="134" spans="1:72">
      <c r="C134" s="23"/>
      <c r="D134" s="23"/>
      <c r="E134" s="23"/>
      <c r="F134" s="23"/>
      <c r="G134" s="23"/>
      <c r="H134" s="23"/>
      <c r="I134" s="167"/>
      <c r="J134" s="23"/>
      <c r="K134" s="23"/>
      <c r="L134" s="23"/>
      <c r="M134" s="23"/>
      <c r="N134" s="84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84"/>
      <c r="AN134" s="23"/>
      <c r="AO134" s="23"/>
      <c r="AP134" s="23"/>
      <c r="AQ134" s="23"/>
      <c r="AR134" s="23"/>
      <c r="AS134" s="23"/>
      <c r="AT134" s="84"/>
      <c r="AU134" s="23"/>
      <c r="AV134" s="23"/>
      <c r="AW134" s="23"/>
      <c r="AX134" s="23"/>
      <c r="AY134" s="23"/>
      <c r="AZ134" s="23"/>
      <c r="BA134" s="23"/>
      <c r="BB134" s="23"/>
      <c r="BC134" s="84"/>
      <c r="BD134" s="21"/>
      <c r="BE134" s="23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84"/>
      <c r="BS134" s="94"/>
    </row>
    <row r="135" spans="1:72">
      <c r="A135" s="31" t="s">
        <v>250</v>
      </c>
      <c r="C135" s="23"/>
      <c r="D135" s="23"/>
      <c r="E135" s="23"/>
      <c r="F135" s="23"/>
      <c r="G135" s="23"/>
      <c r="H135" s="23"/>
      <c r="I135" s="167"/>
      <c r="J135" s="23"/>
      <c r="K135" s="23"/>
      <c r="L135" s="23"/>
      <c r="M135" s="23"/>
      <c r="N135" s="84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84"/>
      <c r="AN135" s="23"/>
      <c r="AO135" s="23"/>
      <c r="AP135" s="23"/>
      <c r="AQ135" s="23"/>
      <c r="AR135" s="23"/>
      <c r="AS135" s="23"/>
      <c r="AT135" s="84"/>
      <c r="AU135" s="23"/>
      <c r="AV135" s="23"/>
      <c r="AW135" s="23"/>
      <c r="AX135" s="23"/>
      <c r="AY135" s="23"/>
      <c r="AZ135" s="23"/>
      <c r="BA135" s="23"/>
      <c r="BB135" s="23"/>
      <c r="BC135" s="84"/>
      <c r="BD135" s="21"/>
      <c r="BE135" s="23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84"/>
      <c r="BS135" s="94"/>
    </row>
    <row r="136" spans="1:72">
      <c r="A136" s="31" t="s">
        <v>251</v>
      </c>
      <c r="C136" s="23"/>
      <c r="D136" s="23"/>
      <c r="E136" s="23"/>
      <c r="F136" s="23"/>
      <c r="G136" s="23"/>
      <c r="H136" s="23"/>
      <c r="I136" s="167"/>
      <c r="J136" s="23"/>
      <c r="K136" s="23"/>
      <c r="L136" s="23"/>
      <c r="M136" s="23"/>
      <c r="N136" s="84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84"/>
      <c r="AN136" s="23"/>
      <c r="AO136" s="23"/>
      <c r="AP136" s="23"/>
      <c r="AQ136" s="23"/>
      <c r="AR136" s="23"/>
      <c r="AS136" s="23"/>
      <c r="AT136" s="84"/>
      <c r="AU136" s="23"/>
      <c r="AV136" s="23"/>
      <c r="AW136" s="23"/>
      <c r="AX136" s="23"/>
      <c r="AY136" s="23"/>
      <c r="AZ136" s="23"/>
      <c r="BA136" s="23"/>
      <c r="BB136" s="23"/>
      <c r="BC136" s="84"/>
      <c r="BD136" s="21"/>
      <c r="BE136" s="23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84"/>
      <c r="BS136" s="94"/>
    </row>
    <row r="137" spans="1:72" ht="12">
      <c r="A137" s="31" t="s">
        <v>63</v>
      </c>
      <c r="B137" s="31" t="s">
        <v>252</v>
      </c>
      <c r="C137" s="23"/>
      <c r="D137" s="23">
        <f>SUM(J137:M137)</f>
        <v>0</v>
      </c>
      <c r="E137" s="157">
        <f>SUM(O137:AS137)</f>
        <v>0</v>
      </c>
      <c r="F137" s="23">
        <f>SUM(AU137:BB137)</f>
        <v>0</v>
      </c>
      <c r="G137" s="23"/>
      <c r="H137" s="23"/>
      <c r="I137" s="167"/>
      <c r="J137" s="23"/>
      <c r="K137" s="23"/>
      <c r="L137" s="23"/>
      <c r="M137" s="23"/>
      <c r="N137" s="84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84"/>
      <c r="AN137" s="23"/>
      <c r="AO137" s="23"/>
      <c r="AP137" s="23"/>
      <c r="AQ137" s="23"/>
      <c r="AR137" s="23"/>
      <c r="AS137" s="23"/>
      <c r="AT137" s="84"/>
      <c r="AU137" s="23"/>
      <c r="AV137" s="23"/>
      <c r="AW137" s="23"/>
      <c r="AX137" s="23"/>
      <c r="AY137" s="23"/>
      <c r="AZ137" s="23"/>
      <c r="BA137" s="23"/>
      <c r="BB137" s="23"/>
      <c r="BC137" s="84"/>
      <c r="BD137" s="61">
        <f>SUM('AC-SVC'!C137)*BD$7</f>
        <v>0</v>
      </c>
      <c r="BE137" s="61">
        <f>SUM('AC-SVC'!D137)</f>
        <v>0</v>
      </c>
      <c r="BF137" s="61">
        <f>SUM('AC-SVC'!G137)</f>
        <v>0</v>
      </c>
      <c r="BG137" s="61">
        <f>SUM('AC-SVC'!J137)</f>
        <v>0</v>
      </c>
      <c r="BH137" s="61">
        <f>SUM('AC-SVC'!M137)</f>
        <v>0</v>
      </c>
      <c r="BI137" s="61">
        <f>SUM('AC-SVC'!P137)*BI$7</f>
        <v>0</v>
      </c>
      <c r="BJ137" s="61">
        <f>SUM(PT!C137)</f>
        <v>0</v>
      </c>
      <c r="BK137" s="61">
        <f>SUM(CCLC!C137)</f>
        <v>0</v>
      </c>
      <c r="BL137" s="61">
        <f>SUM(FC!D137)</f>
        <v>68480</v>
      </c>
      <c r="BM137" s="61">
        <f>SUM(FN!F137)*BM$7</f>
        <v>0</v>
      </c>
      <c r="BN137" s="61">
        <f>SUM(FS!D137)</f>
        <v>0</v>
      </c>
      <c r="BO137" s="61">
        <f>SUM(IT!D137)</f>
        <v>0</v>
      </c>
      <c r="BP137" s="84"/>
      <c r="BQ137" s="62">
        <f>SUM(C137:H137)+SUM(BD137:BO137)</f>
        <v>68480</v>
      </c>
      <c r="BS137" s="95">
        <f>SUM(Sheet1!C137)</f>
        <v>9932.8799999999992</v>
      </c>
      <c r="BT137" s="288">
        <f>SUM(Sheet1!I137)</f>
        <v>11093.50641509434</v>
      </c>
    </row>
    <row r="138" spans="1:72" ht="12">
      <c r="A138" s="31" t="s">
        <v>64</v>
      </c>
      <c r="B138" s="31" t="s">
        <v>253</v>
      </c>
      <c r="C138" s="23"/>
      <c r="D138" s="23">
        <f>SUM(J138:M138)</f>
        <v>0</v>
      </c>
      <c r="E138" s="157">
        <f>SUM(O138:AS138)</f>
        <v>0</v>
      </c>
      <c r="F138" s="23">
        <f>SUM(AU138:BB138)</f>
        <v>0</v>
      </c>
      <c r="G138" s="23"/>
      <c r="H138" s="23"/>
      <c r="I138" s="167"/>
      <c r="J138" s="23"/>
      <c r="K138" s="23"/>
      <c r="L138" s="23"/>
      <c r="M138" s="23"/>
      <c r="N138" s="84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84"/>
      <c r="AN138" s="23"/>
      <c r="AO138" s="23"/>
      <c r="AP138" s="23"/>
      <c r="AQ138" s="23"/>
      <c r="AR138" s="23"/>
      <c r="AS138" s="23"/>
      <c r="AT138" s="84"/>
      <c r="AU138" s="23"/>
      <c r="AV138" s="23"/>
      <c r="AW138" s="23"/>
      <c r="AX138" s="23"/>
      <c r="AY138" s="23"/>
      <c r="AZ138" s="23"/>
      <c r="BA138" s="23"/>
      <c r="BB138" s="23"/>
      <c r="BC138" s="84"/>
      <c r="BD138" s="61">
        <f>SUM('AC-SVC'!C138)*BD$7</f>
        <v>0</v>
      </c>
      <c r="BE138" s="61">
        <f>SUM('AC-SVC'!D138)</f>
        <v>0</v>
      </c>
      <c r="BF138" s="61">
        <f>SUM('AC-SVC'!G138)</f>
        <v>0</v>
      </c>
      <c r="BG138" s="61">
        <f>SUM('AC-SVC'!J138)</f>
        <v>0</v>
      </c>
      <c r="BH138" s="61">
        <f>SUM('AC-SVC'!M138)</f>
        <v>0</v>
      </c>
      <c r="BI138" s="61">
        <f>SUM('AC-SVC'!P138)*BI$7</f>
        <v>0</v>
      </c>
      <c r="BJ138" s="61">
        <f>SUM(PT!C138)</f>
        <v>0</v>
      </c>
      <c r="BK138" s="61">
        <f>SUM(CCLC!C138)</f>
        <v>0</v>
      </c>
      <c r="BL138" s="61">
        <f>SUM(FC!D138)</f>
        <v>52786.65</v>
      </c>
      <c r="BM138" s="61">
        <f>SUM(FN!F138)*BM$7</f>
        <v>0</v>
      </c>
      <c r="BN138" s="61">
        <f>SUM(FS!D138)</f>
        <v>0</v>
      </c>
      <c r="BO138" s="61">
        <f>SUM(IT!D138)</f>
        <v>0</v>
      </c>
      <c r="BP138" s="84"/>
      <c r="BQ138" s="62">
        <f>SUM(C138:H138)+SUM(BD138:BO138)</f>
        <v>52786.65</v>
      </c>
      <c r="BS138" s="95">
        <f>SUM(Sheet1!C138)</f>
        <v>96092.99</v>
      </c>
      <c r="BT138" s="288">
        <f>SUM(Sheet1!I138)</f>
        <v>101579.70716981133</v>
      </c>
    </row>
    <row r="139" spans="1:72" ht="12">
      <c r="A139" s="31" t="s">
        <v>417</v>
      </c>
      <c r="B139" s="31" t="s">
        <v>418</v>
      </c>
      <c r="C139" s="23"/>
      <c r="D139" s="23">
        <f>SUM(J139:M139)</f>
        <v>0</v>
      </c>
      <c r="E139" s="157">
        <f>SUM(O139:AS139)</f>
        <v>0</v>
      </c>
      <c r="F139" s="23">
        <f>SUM(AU139:BB139)</f>
        <v>0</v>
      </c>
      <c r="G139" s="23"/>
      <c r="H139" s="23"/>
      <c r="I139" s="167"/>
      <c r="J139" s="23"/>
      <c r="K139" s="23"/>
      <c r="L139" s="23"/>
      <c r="M139" s="23"/>
      <c r="N139" s="84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84"/>
      <c r="AN139" s="23"/>
      <c r="AO139" s="23"/>
      <c r="AP139" s="23"/>
      <c r="AQ139" s="23"/>
      <c r="AR139" s="23"/>
      <c r="AS139" s="23"/>
      <c r="AT139" s="84"/>
      <c r="AU139" s="23"/>
      <c r="AV139" s="23"/>
      <c r="AW139" s="23"/>
      <c r="AX139" s="23"/>
      <c r="AY139" s="23"/>
      <c r="AZ139" s="23"/>
      <c r="BA139" s="23"/>
      <c r="BB139" s="23"/>
      <c r="BC139" s="84"/>
      <c r="BD139" s="61">
        <f>SUM('AC-SVC'!C139)*BD$7</f>
        <v>0</v>
      </c>
      <c r="BE139" s="61">
        <f>SUM('AC-SVC'!D139)</f>
        <v>0</v>
      </c>
      <c r="BF139" s="61">
        <f>SUM('AC-SVC'!G139)</f>
        <v>0</v>
      </c>
      <c r="BG139" s="61">
        <f>SUM('AC-SVC'!J139)</f>
        <v>0</v>
      </c>
      <c r="BH139" s="61">
        <f>SUM('AC-SVC'!M139)</f>
        <v>0</v>
      </c>
      <c r="BI139" s="61">
        <f>SUM('AC-SVC'!P139)*BI$7</f>
        <v>0</v>
      </c>
      <c r="BJ139" s="61">
        <f>SUM(PT!C139)</f>
        <v>0</v>
      </c>
      <c r="BK139" s="61">
        <f>SUM(CCLC!C139)</f>
        <v>0</v>
      </c>
      <c r="BL139" s="61">
        <f>SUM(FC!D139)</f>
        <v>0</v>
      </c>
      <c r="BM139" s="61">
        <f>SUM(FN!F139)*BM$7</f>
        <v>0</v>
      </c>
      <c r="BN139" s="61">
        <f>SUM(FS!D139)</f>
        <v>0</v>
      </c>
      <c r="BO139" s="61">
        <f>SUM(IT!D139)</f>
        <v>0</v>
      </c>
      <c r="BP139" s="84"/>
      <c r="BQ139" s="62">
        <f>SUM(C139:H139)+SUM(BD139:BO139)</f>
        <v>0</v>
      </c>
      <c r="BS139" s="95">
        <f>SUM(Sheet1!C139)</f>
        <v>0</v>
      </c>
      <c r="BT139" s="288">
        <f>SUM(Sheet1!I139)</f>
        <v>0</v>
      </c>
    </row>
    <row r="140" spans="1:72" ht="12">
      <c r="A140" s="31" t="s">
        <v>65</v>
      </c>
      <c r="B140" s="31" t="s">
        <v>254</v>
      </c>
      <c r="C140" s="169"/>
      <c r="D140" s="169">
        <f>SUM(J140:M140)</f>
        <v>0</v>
      </c>
      <c r="E140" s="169">
        <f>SUM(O140:AS140)</f>
        <v>0</v>
      </c>
      <c r="F140" s="169">
        <f>SUM(AU140:BB140)</f>
        <v>0</v>
      </c>
      <c r="G140" s="169"/>
      <c r="H140" s="169"/>
      <c r="I140" s="167"/>
      <c r="J140" s="169"/>
      <c r="K140" s="169"/>
      <c r="L140" s="169"/>
      <c r="M140" s="169"/>
      <c r="N140" s="173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73"/>
      <c r="AN140" s="169"/>
      <c r="AO140" s="169"/>
      <c r="AP140" s="169"/>
      <c r="AQ140" s="169"/>
      <c r="AR140" s="169"/>
      <c r="AS140" s="169"/>
      <c r="AT140" s="173"/>
      <c r="AU140" s="169"/>
      <c r="AV140" s="169"/>
      <c r="AW140" s="169"/>
      <c r="AX140" s="169"/>
      <c r="AY140" s="169"/>
      <c r="AZ140" s="169"/>
      <c r="BA140" s="169"/>
      <c r="BB140" s="169"/>
      <c r="BC140" s="84"/>
      <c r="BD140" s="20">
        <f>SUM('AC-SVC'!C140)*BD$7</f>
        <v>0</v>
      </c>
      <c r="BE140" s="20">
        <f>SUM('AC-SVC'!D140)</f>
        <v>0</v>
      </c>
      <c r="BF140" s="20">
        <f>SUM('AC-SVC'!G140)</f>
        <v>0</v>
      </c>
      <c r="BG140" s="20">
        <f>SUM('AC-SVC'!J140)</f>
        <v>0</v>
      </c>
      <c r="BH140" s="20">
        <f>SUM('AC-SVC'!M140)</f>
        <v>0</v>
      </c>
      <c r="BI140" s="20">
        <f>SUM('AC-SVC'!P140)*BI$7</f>
        <v>0</v>
      </c>
      <c r="BJ140" s="20">
        <f>SUM(PT!C140)</f>
        <v>0</v>
      </c>
      <c r="BK140" s="20">
        <f>SUM(CCLC!C140)</f>
        <v>0</v>
      </c>
      <c r="BL140" s="20">
        <f>SUM(FC!D140)</f>
        <v>0</v>
      </c>
      <c r="BM140" s="20">
        <f>SUM(FN!F140)*BM$7</f>
        <v>0</v>
      </c>
      <c r="BN140" s="20">
        <f>SUM(FS!D140)</f>
        <v>0</v>
      </c>
      <c r="BO140" s="20">
        <f>SUM(IT!D140)</f>
        <v>0</v>
      </c>
      <c r="BP140" s="84"/>
      <c r="BQ140" s="63">
        <f>SUM(C140:H140)+SUM(BD140:BO140)</f>
        <v>0</v>
      </c>
      <c r="BS140" s="96">
        <f>SUM(Sheet1!C140)</f>
        <v>0</v>
      </c>
      <c r="BT140" s="288">
        <f>SUM(Sheet1!I140)</f>
        <v>0</v>
      </c>
    </row>
    <row r="141" spans="1:72" s="30" customFormat="1" ht="10">
      <c r="A141" s="31"/>
      <c r="B141" s="31" t="s">
        <v>255</v>
      </c>
      <c r="C141" s="49">
        <f t="shared" ref="C141:BB141" si="213">SUM(C137:C140)</f>
        <v>0</v>
      </c>
      <c r="D141" s="49">
        <f t="shared" si="213"/>
        <v>0</v>
      </c>
      <c r="E141" s="49">
        <f t="shared" si="213"/>
        <v>0</v>
      </c>
      <c r="F141" s="49">
        <f t="shared" si="213"/>
        <v>0</v>
      </c>
      <c r="G141" s="49">
        <f t="shared" si="213"/>
        <v>0</v>
      </c>
      <c r="H141" s="49">
        <f t="shared" si="213"/>
        <v>0</v>
      </c>
      <c r="I141" s="170"/>
      <c r="J141" s="49">
        <f t="shared" si="213"/>
        <v>0</v>
      </c>
      <c r="K141" s="49">
        <f t="shared" si="213"/>
        <v>0</v>
      </c>
      <c r="L141" s="49">
        <f t="shared" si="213"/>
        <v>0</v>
      </c>
      <c r="M141" s="49">
        <f t="shared" si="213"/>
        <v>0</v>
      </c>
      <c r="N141" s="171"/>
      <c r="O141" s="49">
        <f t="shared" si="213"/>
        <v>0</v>
      </c>
      <c r="P141" s="49">
        <f t="shared" si="213"/>
        <v>0</v>
      </c>
      <c r="Q141" s="49">
        <f t="shared" si="213"/>
        <v>0</v>
      </c>
      <c r="R141" s="49">
        <f t="shared" si="213"/>
        <v>0</v>
      </c>
      <c r="S141" s="49">
        <f t="shared" si="213"/>
        <v>0</v>
      </c>
      <c r="T141" s="49">
        <f t="shared" si="213"/>
        <v>0</v>
      </c>
      <c r="U141" s="49">
        <f t="shared" si="213"/>
        <v>0</v>
      </c>
      <c r="V141" s="49">
        <f t="shared" si="213"/>
        <v>0</v>
      </c>
      <c r="W141" s="49">
        <f t="shared" si="213"/>
        <v>0</v>
      </c>
      <c r="X141" s="49">
        <f t="shared" si="213"/>
        <v>0</v>
      </c>
      <c r="Y141" s="49">
        <f t="shared" si="213"/>
        <v>0</v>
      </c>
      <c r="Z141" s="49">
        <f t="shared" si="213"/>
        <v>0</v>
      </c>
      <c r="AA141" s="49">
        <f t="shared" si="213"/>
        <v>0</v>
      </c>
      <c r="AB141" s="49">
        <f t="shared" si="213"/>
        <v>0</v>
      </c>
      <c r="AC141" s="49">
        <f t="shared" si="213"/>
        <v>0</v>
      </c>
      <c r="AD141" s="49">
        <f t="shared" si="213"/>
        <v>0</v>
      </c>
      <c r="AE141" s="49">
        <f t="shared" si="213"/>
        <v>0</v>
      </c>
      <c r="AF141" s="49">
        <f t="shared" si="213"/>
        <v>0</v>
      </c>
      <c r="AG141" s="49">
        <f t="shared" si="213"/>
        <v>0</v>
      </c>
      <c r="AH141" s="49">
        <f t="shared" si="213"/>
        <v>0</v>
      </c>
      <c r="AI141" s="49">
        <f t="shared" si="213"/>
        <v>0</v>
      </c>
      <c r="AJ141" s="49">
        <f t="shared" si="213"/>
        <v>0</v>
      </c>
      <c r="AK141" s="49">
        <f t="shared" si="213"/>
        <v>0</v>
      </c>
      <c r="AL141" s="49">
        <f t="shared" si="213"/>
        <v>0</v>
      </c>
      <c r="AM141" s="171"/>
      <c r="AN141" s="49">
        <f t="shared" si="213"/>
        <v>0</v>
      </c>
      <c r="AO141" s="49">
        <f t="shared" si="213"/>
        <v>0</v>
      </c>
      <c r="AP141" s="49">
        <f t="shared" si="213"/>
        <v>0</v>
      </c>
      <c r="AQ141" s="49">
        <f t="shared" si="213"/>
        <v>0</v>
      </c>
      <c r="AR141" s="49">
        <f t="shared" si="213"/>
        <v>0</v>
      </c>
      <c r="AS141" s="49">
        <f t="shared" si="213"/>
        <v>0</v>
      </c>
      <c r="AT141" s="171"/>
      <c r="AU141" s="49">
        <f t="shared" si="213"/>
        <v>0</v>
      </c>
      <c r="AV141" s="49">
        <f t="shared" si="213"/>
        <v>0</v>
      </c>
      <c r="AW141" s="49">
        <f t="shared" si="213"/>
        <v>0</v>
      </c>
      <c r="AX141" s="49">
        <f t="shared" si="213"/>
        <v>0</v>
      </c>
      <c r="AY141" s="49">
        <f t="shared" si="213"/>
        <v>0</v>
      </c>
      <c r="AZ141" s="49">
        <f t="shared" si="213"/>
        <v>0</v>
      </c>
      <c r="BA141" s="49">
        <f t="shared" si="213"/>
        <v>0</v>
      </c>
      <c r="BB141" s="49">
        <f t="shared" si="213"/>
        <v>0</v>
      </c>
      <c r="BC141" s="171"/>
      <c r="BD141" s="41">
        <f t="shared" ref="BD141:BO141" si="214">+SUM(BD137:BD140)</f>
        <v>0</v>
      </c>
      <c r="BE141" s="49">
        <f t="shared" si="214"/>
        <v>0</v>
      </c>
      <c r="BF141" s="41">
        <f t="shared" si="214"/>
        <v>0</v>
      </c>
      <c r="BG141" s="41">
        <f t="shared" si="214"/>
        <v>0</v>
      </c>
      <c r="BH141" s="41">
        <f t="shared" si="214"/>
        <v>0</v>
      </c>
      <c r="BI141" s="41">
        <f t="shared" si="214"/>
        <v>0</v>
      </c>
      <c r="BJ141" s="41">
        <f t="shared" si="214"/>
        <v>0</v>
      </c>
      <c r="BK141" s="41">
        <f t="shared" si="214"/>
        <v>0</v>
      </c>
      <c r="BL141" s="41">
        <f t="shared" si="214"/>
        <v>121266.65</v>
      </c>
      <c r="BM141" s="41">
        <f t="shared" si="214"/>
        <v>0</v>
      </c>
      <c r="BN141" s="41">
        <f t="shared" si="214"/>
        <v>0</v>
      </c>
      <c r="BO141" s="41">
        <f t="shared" si="214"/>
        <v>0</v>
      </c>
      <c r="BP141" s="171"/>
      <c r="BQ141" s="49">
        <f>SUM(BQ137:BQ140)</f>
        <v>121266.65</v>
      </c>
      <c r="BS141" s="94">
        <f>SUM(BS137:BS140)</f>
        <v>106025.87000000001</v>
      </c>
      <c r="BT141" s="293">
        <f>SUM(BT137:BT140)</f>
        <v>112673.21358490566</v>
      </c>
    </row>
    <row r="142" spans="1:72">
      <c r="C142" s="23"/>
      <c r="D142" s="23"/>
      <c r="E142" s="23"/>
      <c r="F142" s="23"/>
      <c r="G142" s="23"/>
      <c r="H142" s="23"/>
      <c r="I142" s="167"/>
      <c r="J142" s="23"/>
      <c r="K142" s="23"/>
      <c r="L142" s="23"/>
      <c r="M142" s="23"/>
      <c r="N142" s="84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84"/>
      <c r="AN142" s="23"/>
      <c r="AO142" s="23"/>
      <c r="AP142" s="23"/>
      <c r="AQ142" s="23"/>
      <c r="AR142" s="23"/>
      <c r="AS142" s="23"/>
      <c r="AT142" s="84"/>
      <c r="AU142" s="23"/>
      <c r="AV142" s="23"/>
      <c r="AW142" s="23"/>
      <c r="AX142" s="23"/>
      <c r="AY142" s="23"/>
      <c r="AZ142" s="23"/>
      <c r="BA142" s="23"/>
      <c r="BB142" s="23"/>
      <c r="BC142" s="84"/>
      <c r="BD142" s="21"/>
      <c r="BE142" s="23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84"/>
      <c r="BS142" s="94"/>
    </row>
    <row r="143" spans="1:72">
      <c r="A143" s="31" t="s">
        <v>256</v>
      </c>
      <c r="C143" s="23"/>
      <c r="D143" s="23"/>
      <c r="E143" s="23"/>
      <c r="F143" s="23"/>
      <c r="G143" s="23"/>
      <c r="H143" s="23"/>
      <c r="I143" s="167"/>
      <c r="J143" s="23"/>
      <c r="K143" s="23"/>
      <c r="L143" s="23"/>
      <c r="M143" s="23"/>
      <c r="N143" s="84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84"/>
      <c r="AN143" s="23"/>
      <c r="AO143" s="23"/>
      <c r="AP143" s="23"/>
      <c r="AQ143" s="23"/>
      <c r="AR143" s="23"/>
      <c r="AS143" s="23"/>
      <c r="AT143" s="84"/>
      <c r="AU143" s="23"/>
      <c r="AV143" s="23"/>
      <c r="AW143" s="23"/>
      <c r="AX143" s="23"/>
      <c r="AY143" s="23"/>
      <c r="AZ143" s="23"/>
      <c r="BA143" s="23"/>
      <c r="BB143" s="23"/>
      <c r="BC143" s="84"/>
      <c r="BD143" s="21"/>
      <c r="BE143" s="23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84"/>
      <c r="BS143" s="94"/>
    </row>
    <row r="144" spans="1:72" ht="12">
      <c r="A144" s="31" t="s">
        <v>66</v>
      </c>
      <c r="B144" s="31" t="s">
        <v>257</v>
      </c>
      <c r="C144" s="23"/>
      <c r="D144" s="23">
        <f t="shared" ref="D144:D149" si="215">SUM(J144:M144)</f>
        <v>0</v>
      </c>
      <c r="E144" s="157">
        <f t="shared" ref="E144:E149" si="216">SUM(O144:AS144)</f>
        <v>0</v>
      </c>
      <c r="F144" s="23">
        <f t="shared" ref="F144:F149" si="217">SUM(AU144:BB144)</f>
        <v>0</v>
      </c>
      <c r="G144" s="23"/>
      <c r="H144" s="23"/>
      <c r="I144" s="167"/>
      <c r="J144" s="23"/>
      <c r="K144" s="23"/>
      <c r="L144" s="23"/>
      <c r="M144" s="23"/>
      <c r="N144" s="84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84"/>
      <c r="AN144" s="23"/>
      <c r="AO144" s="23"/>
      <c r="AP144" s="23"/>
      <c r="AQ144" s="23"/>
      <c r="AR144" s="23"/>
      <c r="AS144" s="23"/>
      <c r="AT144" s="84"/>
      <c r="AU144" s="23"/>
      <c r="AV144" s="23"/>
      <c r="AW144" s="23"/>
      <c r="AX144" s="23"/>
      <c r="AY144" s="23"/>
      <c r="AZ144" s="23"/>
      <c r="BA144" s="23"/>
      <c r="BB144" s="23"/>
      <c r="BC144" s="84"/>
      <c r="BD144" s="61">
        <f>SUM('AC-SVC'!C144)*BD$7</f>
        <v>0</v>
      </c>
      <c r="BE144" s="61">
        <f>SUM('AC-SVC'!D144)</f>
        <v>0</v>
      </c>
      <c r="BF144" s="61">
        <f>SUM('AC-SVC'!G144)</f>
        <v>0</v>
      </c>
      <c r="BG144" s="61">
        <f>SUM('AC-SVC'!J144)</f>
        <v>0</v>
      </c>
      <c r="BH144" s="61">
        <f>SUM('AC-SVC'!M144)</f>
        <v>672</v>
      </c>
      <c r="BI144" s="61">
        <f>SUM('AC-SVC'!P144)*BI$7</f>
        <v>0</v>
      </c>
      <c r="BJ144" s="61">
        <f>SUM(PT!C144)</f>
        <v>0</v>
      </c>
      <c r="BK144" s="61">
        <f>SUM(CCLC!C144)</f>
        <v>0</v>
      </c>
      <c r="BL144" s="61">
        <f>SUM(FC!D144)</f>
        <v>0</v>
      </c>
      <c r="BM144" s="61">
        <f>SUM(FN!F144)*BM$7</f>
        <v>0</v>
      </c>
      <c r="BN144" s="61">
        <f>SUM(FS!D144)</f>
        <v>0</v>
      </c>
      <c r="BO144" s="61">
        <f>SUM(IT!D144)</f>
        <v>284</v>
      </c>
      <c r="BP144" s="84"/>
      <c r="BQ144" s="62">
        <f t="shared" ref="BQ144:BQ149" si="218">SUM(C144:H144)+SUM(BD144:BO144)</f>
        <v>956</v>
      </c>
      <c r="BS144" s="95">
        <f>SUM(Sheet1!C144)</f>
        <v>3047.96</v>
      </c>
      <c r="BT144" s="288">
        <f>SUM(Sheet1!I144)</f>
        <v>3680.5192452830192</v>
      </c>
    </row>
    <row r="145" spans="1:72" ht="12">
      <c r="A145" s="31" t="s">
        <v>67</v>
      </c>
      <c r="B145" s="31" t="s">
        <v>258</v>
      </c>
      <c r="C145" s="23"/>
      <c r="D145" s="23">
        <f t="shared" si="215"/>
        <v>0</v>
      </c>
      <c r="E145" s="157">
        <f t="shared" si="216"/>
        <v>0</v>
      </c>
      <c r="F145" s="23">
        <f t="shared" si="217"/>
        <v>0</v>
      </c>
      <c r="G145" s="23"/>
      <c r="H145" s="23"/>
      <c r="I145" s="167"/>
      <c r="J145" s="23"/>
      <c r="K145" s="23"/>
      <c r="L145" s="23"/>
      <c r="M145" s="23"/>
      <c r="N145" s="84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84"/>
      <c r="AN145" s="23"/>
      <c r="AO145" s="23"/>
      <c r="AP145" s="23"/>
      <c r="AQ145" s="23"/>
      <c r="AR145" s="23"/>
      <c r="AS145" s="23"/>
      <c r="AT145" s="84"/>
      <c r="AU145" s="23"/>
      <c r="AV145" s="23"/>
      <c r="AW145" s="23"/>
      <c r="AX145" s="23"/>
      <c r="AY145" s="23"/>
      <c r="AZ145" s="23"/>
      <c r="BA145" s="23"/>
      <c r="BB145" s="23"/>
      <c r="BC145" s="84"/>
      <c r="BD145" s="61">
        <f>SUM('AC-SVC'!C145)*BD$7</f>
        <v>0</v>
      </c>
      <c r="BE145" s="61">
        <f>SUM('AC-SVC'!D145)</f>
        <v>0</v>
      </c>
      <c r="BF145" s="61">
        <f>SUM('AC-SVC'!G145)</f>
        <v>0</v>
      </c>
      <c r="BG145" s="61">
        <f>SUM('AC-SVC'!J145)</f>
        <v>0</v>
      </c>
      <c r="BH145" s="61">
        <f>SUM('AC-SVC'!M145)</f>
        <v>0</v>
      </c>
      <c r="BI145" s="61">
        <f>SUM('AC-SVC'!P145)*BI$7</f>
        <v>0</v>
      </c>
      <c r="BJ145" s="61">
        <f>SUM(PT!C145)</f>
        <v>0</v>
      </c>
      <c r="BK145" s="61">
        <f>SUM(CCLC!C145)</f>
        <v>0</v>
      </c>
      <c r="BL145" s="61">
        <f>SUM(FC!D145)</f>
        <v>0</v>
      </c>
      <c r="BM145" s="61">
        <f>SUM(FN!F145)*BM$7</f>
        <v>0</v>
      </c>
      <c r="BN145" s="61">
        <f>SUM(FS!D145)</f>
        <v>0</v>
      </c>
      <c r="BO145" s="61">
        <f>SUM(IT!D145)</f>
        <v>0</v>
      </c>
      <c r="BP145" s="84"/>
      <c r="BQ145" s="62">
        <f t="shared" si="218"/>
        <v>0</v>
      </c>
      <c r="BS145" s="95">
        <f>SUM(Sheet1!C145)</f>
        <v>0</v>
      </c>
      <c r="BT145" s="288">
        <f>SUM(Sheet1!I145)</f>
        <v>0</v>
      </c>
    </row>
    <row r="146" spans="1:72" ht="12">
      <c r="A146" s="31" t="s">
        <v>68</v>
      </c>
      <c r="B146" s="31" t="s">
        <v>259</v>
      </c>
      <c r="C146" s="23"/>
      <c r="D146" s="23">
        <f t="shared" si="215"/>
        <v>0</v>
      </c>
      <c r="E146" s="157">
        <f t="shared" si="216"/>
        <v>0</v>
      </c>
      <c r="F146" s="23">
        <f t="shared" si="217"/>
        <v>0</v>
      </c>
      <c r="G146" s="23">
        <f>55*12*2</f>
        <v>1320</v>
      </c>
      <c r="H146" s="23">
        <f>55*12</f>
        <v>660</v>
      </c>
      <c r="I146" s="167"/>
      <c r="J146" s="23"/>
      <c r="K146" s="23"/>
      <c r="L146" s="23"/>
      <c r="M146" s="23"/>
      <c r="N146" s="84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84"/>
      <c r="AN146" s="23"/>
      <c r="AO146" s="23"/>
      <c r="AP146" s="23"/>
      <c r="AQ146" s="23"/>
      <c r="AR146" s="23"/>
      <c r="AS146" s="23"/>
      <c r="AT146" s="84"/>
      <c r="AU146" s="23"/>
      <c r="AV146" s="23"/>
      <c r="AW146" s="23"/>
      <c r="AX146" s="23"/>
      <c r="AY146" s="23"/>
      <c r="AZ146" s="23"/>
      <c r="BA146" s="23"/>
      <c r="BB146" s="23"/>
      <c r="BC146" s="84"/>
      <c r="BD146" s="61">
        <f>SUM('AC-SVC'!C146)*BD$7</f>
        <v>0</v>
      </c>
      <c r="BE146" s="61">
        <f>SUM('AC-SVC'!D146)</f>
        <v>1320</v>
      </c>
      <c r="BF146" s="61">
        <f>SUM('AC-SVC'!G146)</f>
        <v>1320</v>
      </c>
      <c r="BG146" s="61">
        <f>SUM('AC-SVC'!J146)</f>
        <v>1320</v>
      </c>
      <c r="BH146" s="61">
        <f>SUM('AC-SVC'!M146)</f>
        <v>0</v>
      </c>
      <c r="BI146" s="61">
        <f>SUM('AC-SVC'!P146)*BI$7</f>
        <v>0</v>
      </c>
      <c r="BJ146" s="61">
        <f>SUM(PT!C146)</f>
        <v>0</v>
      </c>
      <c r="BK146" s="61">
        <f>SUM(CCLC!C146)</f>
        <v>0</v>
      </c>
      <c r="BL146" s="61">
        <f>SUM(FC!D146)</f>
        <v>660</v>
      </c>
      <c r="BM146" s="61">
        <f>SUM(FN!F146)*BM$7</f>
        <v>0</v>
      </c>
      <c r="BN146" s="61">
        <f>SUM(FS!D146)</f>
        <v>0</v>
      </c>
      <c r="BO146" s="61">
        <f>SUM(IT!D146)</f>
        <v>1560</v>
      </c>
      <c r="BP146" s="84"/>
      <c r="BQ146" s="62">
        <f t="shared" si="218"/>
        <v>8160</v>
      </c>
      <c r="BS146" s="95">
        <f>SUM(Sheet1!C146)</f>
        <v>3866.7</v>
      </c>
      <c r="BT146" s="288">
        <f>SUM(Sheet1!I146)</f>
        <v>4449.116981132076</v>
      </c>
    </row>
    <row r="147" spans="1:72" ht="12">
      <c r="A147" s="31" t="s">
        <v>69</v>
      </c>
      <c r="B147" s="31" t="s">
        <v>260</v>
      </c>
      <c r="C147" s="23"/>
      <c r="D147" s="23">
        <f t="shared" si="215"/>
        <v>0</v>
      </c>
      <c r="E147" s="157">
        <f t="shared" si="216"/>
        <v>0</v>
      </c>
      <c r="F147" s="23">
        <f t="shared" si="217"/>
        <v>0</v>
      </c>
      <c r="G147" s="23"/>
      <c r="H147" s="23"/>
      <c r="I147" s="167"/>
      <c r="J147" s="23"/>
      <c r="K147" s="23"/>
      <c r="L147" s="23"/>
      <c r="M147" s="23"/>
      <c r="N147" s="84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84"/>
      <c r="AN147" s="23"/>
      <c r="AO147" s="23"/>
      <c r="AP147" s="23"/>
      <c r="AQ147" s="23"/>
      <c r="AR147" s="23"/>
      <c r="AS147" s="23"/>
      <c r="AT147" s="84"/>
      <c r="AU147" s="23"/>
      <c r="AV147" s="23"/>
      <c r="AW147" s="23"/>
      <c r="AX147" s="23"/>
      <c r="AY147" s="23"/>
      <c r="AZ147" s="23"/>
      <c r="BA147" s="23"/>
      <c r="BB147" s="23"/>
      <c r="BC147" s="84"/>
      <c r="BD147" s="61">
        <f>SUM('AC-SVC'!C147)*BD$7</f>
        <v>0</v>
      </c>
      <c r="BE147" s="61">
        <f>SUM('AC-SVC'!D147)</f>
        <v>0</v>
      </c>
      <c r="BF147" s="61">
        <f>SUM('AC-SVC'!G147)</f>
        <v>0</v>
      </c>
      <c r="BG147" s="61">
        <f>SUM('AC-SVC'!J147)</f>
        <v>0</v>
      </c>
      <c r="BH147" s="61">
        <f>SUM('AC-SVC'!M147)</f>
        <v>0</v>
      </c>
      <c r="BI147" s="61">
        <f>SUM('AC-SVC'!P147)*BI$7</f>
        <v>0</v>
      </c>
      <c r="BJ147" s="61">
        <f>SUM(PT!C147)</f>
        <v>0</v>
      </c>
      <c r="BK147" s="61">
        <f>SUM(CCLC!C147)</f>
        <v>0</v>
      </c>
      <c r="BL147" s="61">
        <f>SUM(FC!D147)</f>
        <v>0</v>
      </c>
      <c r="BM147" s="61">
        <f>SUM(FN!F147)*BM$7</f>
        <v>0</v>
      </c>
      <c r="BN147" s="61">
        <f>SUM(FS!D147)</f>
        <v>0</v>
      </c>
      <c r="BO147" s="61">
        <f>SUM(IT!D147)</f>
        <v>21942</v>
      </c>
      <c r="BP147" s="84"/>
      <c r="BQ147" s="62">
        <f t="shared" si="218"/>
        <v>21942</v>
      </c>
      <c r="BS147" s="95">
        <f>SUM(Sheet1!C147)</f>
        <v>0</v>
      </c>
      <c r="BT147" s="288">
        <f>SUM(Sheet1!I147)</f>
        <v>2716.9811320754716</v>
      </c>
    </row>
    <row r="148" spans="1:72" ht="12" customHeight="1">
      <c r="A148" s="31" t="s">
        <v>70</v>
      </c>
      <c r="B148" s="31" t="s">
        <v>261</v>
      </c>
      <c r="C148" s="23">
        <f>300*12</f>
        <v>3600</v>
      </c>
      <c r="D148" s="23">
        <f t="shared" si="215"/>
        <v>0</v>
      </c>
      <c r="E148" s="157">
        <f t="shared" si="216"/>
        <v>0</v>
      </c>
      <c r="F148" s="23">
        <f t="shared" si="217"/>
        <v>0</v>
      </c>
      <c r="G148" s="23"/>
      <c r="H148" s="23"/>
      <c r="I148" s="167"/>
      <c r="J148" s="23"/>
      <c r="K148" s="23"/>
      <c r="L148" s="23"/>
      <c r="M148" s="23"/>
      <c r="N148" s="84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84"/>
      <c r="AN148" s="23"/>
      <c r="AO148" s="23"/>
      <c r="AP148" s="23"/>
      <c r="AQ148" s="23"/>
      <c r="AR148" s="23"/>
      <c r="AS148" s="23"/>
      <c r="AT148" s="84"/>
      <c r="AU148" s="23"/>
      <c r="AV148" s="23"/>
      <c r="AW148" s="23"/>
      <c r="AX148" s="23"/>
      <c r="AY148" s="23"/>
      <c r="AZ148" s="23"/>
      <c r="BA148" s="23"/>
      <c r="BB148" s="23"/>
      <c r="BC148" s="84"/>
      <c r="BD148" s="61">
        <f>SUM('AC-SVC'!C148)*BD$7</f>
        <v>0</v>
      </c>
      <c r="BE148" s="61">
        <f>SUM('AC-SVC'!D148)</f>
        <v>0</v>
      </c>
      <c r="BF148" s="61">
        <f>SUM('AC-SVC'!G148)</f>
        <v>0</v>
      </c>
      <c r="BG148" s="61">
        <f>SUM('AC-SVC'!J148)</f>
        <v>0</v>
      </c>
      <c r="BH148" s="61">
        <f>SUM('AC-SVC'!M148)</f>
        <v>0</v>
      </c>
      <c r="BI148" s="61">
        <f>SUM('AC-SVC'!P148)*BI$7</f>
        <v>0</v>
      </c>
      <c r="BJ148" s="61">
        <f>SUM(PT!C148)</f>
        <v>0</v>
      </c>
      <c r="BK148" s="61">
        <f>SUM(CCLC!C148)</f>
        <v>0</v>
      </c>
      <c r="BL148" s="61">
        <f>SUM(FC!D148)</f>
        <v>0</v>
      </c>
      <c r="BM148" s="61">
        <f>SUM(FN!F148)*BM$7</f>
        <v>0</v>
      </c>
      <c r="BN148" s="61">
        <f>SUM(FS!D148)</f>
        <v>0</v>
      </c>
      <c r="BO148" s="61">
        <f>SUM(IT!D148)</f>
        <v>0</v>
      </c>
      <c r="BP148" s="84"/>
      <c r="BQ148" s="62">
        <f t="shared" si="218"/>
        <v>3600</v>
      </c>
      <c r="BS148" s="95">
        <f>SUM(Sheet1!C148)</f>
        <v>2825.69</v>
      </c>
      <c r="BT148" s="288">
        <f>SUM(Sheet1!I148)</f>
        <v>5015.1003773584907</v>
      </c>
    </row>
    <row r="149" spans="1:72" ht="12">
      <c r="A149" s="31" t="s">
        <v>425</v>
      </c>
      <c r="B149" s="31" t="s">
        <v>427</v>
      </c>
      <c r="C149" s="169"/>
      <c r="D149" s="169">
        <f t="shared" si="215"/>
        <v>0</v>
      </c>
      <c r="E149" s="169">
        <f t="shared" si="216"/>
        <v>0</v>
      </c>
      <c r="F149" s="169">
        <f t="shared" si="217"/>
        <v>0</v>
      </c>
      <c r="G149" s="169"/>
      <c r="H149" s="169"/>
      <c r="I149" s="167"/>
      <c r="J149" s="169"/>
      <c r="K149" s="169"/>
      <c r="L149" s="169"/>
      <c r="M149" s="169"/>
      <c r="N149" s="173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73"/>
      <c r="AN149" s="169"/>
      <c r="AO149" s="169"/>
      <c r="AP149" s="169"/>
      <c r="AQ149" s="169"/>
      <c r="AR149" s="169"/>
      <c r="AS149" s="169"/>
      <c r="AT149" s="173"/>
      <c r="AU149" s="169"/>
      <c r="AV149" s="169"/>
      <c r="AW149" s="169"/>
      <c r="AX149" s="169"/>
      <c r="AY149" s="169"/>
      <c r="AZ149" s="169"/>
      <c r="BA149" s="169"/>
      <c r="BB149" s="169"/>
      <c r="BC149" s="84"/>
      <c r="BD149" s="20">
        <f>SUM('AC-SVC'!C149)*BD$7</f>
        <v>0</v>
      </c>
      <c r="BE149" s="20">
        <f>SUM('AC-SVC'!D149)</f>
        <v>0</v>
      </c>
      <c r="BF149" s="20">
        <f>SUM('AC-SVC'!G149)</f>
        <v>0</v>
      </c>
      <c r="BG149" s="20">
        <f>SUM('AC-SVC'!J149)</f>
        <v>0</v>
      </c>
      <c r="BH149" s="20">
        <f>SUM('AC-SVC'!M149)</f>
        <v>0</v>
      </c>
      <c r="BI149" s="20">
        <f>SUM('AC-SVC'!P149)*BI$7</f>
        <v>0</v>
      </c>
      <c r="BJ149" s="20">
        <f>SUM(PT!C149)</f>
        <v>0</v>
      </c>
      <c r="BK149" s="20">
        <f>SUM(CCLC!C149)</f>
        <v>0</v>
      </c>
      <c r="BL149" s="20">
        <f>SUM(FC!D149)</f>
        <v>0</v>
      </c>
      <c r="BM149" s="20">
        <f>SUM(FN!F149)*BM$7</f>
        <v>0</v>
      </c>
      <c r="BN149" s="20">
        <f>SUM(FS!D149)</f>
        <v>0</v>
      </c>
      <c r="BO149" s="20">
        <f>SUM(IT!D149)</f>
        <v>0</v>
      </c>
      <c r="BP149" s="84"/>
      <c r="BQ149" s="63">
        <f t="shared" si="218"/>
        <v>0</v>
      </c>
      <c r="BS149" s="96">
        <f>SUM(Sheet1!C149)</f>
        <v>1800.12</v>
      </c>
      <c r="BT149" s="288">
        <f>SUM(Sheet1!I149)</f>
        <v>9066.8437735849056</v>
      </c>
    </row>
    <row r="150" spans="1:72" s="30" customFormat="1" ht="10">
      <c r="A150" s="31"/>
      <c r="B150" s="31" t="s">
        <v>262</v>
      </c>
      <c r="C150" s="49">
        <f t="shared" ref="C150:BB150" si="219">SUM(C144:C149)</f>
        <v>3600</v>
      </c>
      <c r="D150" s="49">
        <f t="shared" si="219"/>
        <v>0</v>
      </c>
      <c r="E150" s="49">
        <f t="shared" si="219"/>
        <v>0</v>
      </c>
      <c r="F150" s="49">
        <f t="shared" si="219"/>
        <v>0</v>
      </c>
      <c r="G150" s="49">
        <f t="shared" si="219"/>
        <v>1320</v>
      </c>
      <c r="H150" s="49">
        <f t="shared" si="219"/>
        <v>660</v>
      </c>
      <c r="I150" s="170"/>
      <c r="J150" s="49">
        <f t="shared" si="219"/>
        <v>0</v>
      </c>
      <c r="K150" s="49">
        <f t="shared" si="219"/>
        <v>0</v>
      </c>
      <c r="L150" s="49">
        <f t="shared" si="219"/>
        <v>0</v>
      </c>
      <c r="M150" s="49">
        <f t="shared" si="219"/>
        <v>0</v>
      </c>
      <c r="N150" s="171"/>
      <c r="O150" s="49">
        <f t="shared" si="219"/>
        <v>0</v>
      </c>
      <c r="P150" s="49">
        <f t="shared" si="219"/>
        <v>0</v>
      </c>
      <c r="Q150" s="49">
        <f t="shared" si="219"/>
        <v>0</v>
      </c>
      <c r="R150" s="49">
        <f t="shared" si="219"/>
        <v>0</v>
      </c>
      <c r="S150" s="49">
        <f t="shared" si="219"/>
        <v>0</v>
      </c>
      <c r="T150" s="49">
        <f t="shared" si="219"/>
        <v>0</v>
      </c>
      <c r="U150" s="49">
        <f t="shared" si="219"/>
        <v>0</v>
      </c>
      <c r="V150" s="49">
        <f t="shared" si="219"/>
        <v>0</v>
      </c>
      <c r="W150" s="49">
        <f t="shared" si="219"/>
        <v>0</v>
      </c>
      <c r="X150" s="49">
        <f t="shared" si="219"/>
        <v>0</v>
      </c>
      <c r="Y150" s="49">
        <f t="shared" si="219"/>
        <v>0</v>
      </c>
      <c r="Z150" s="49">
        <f t="shared" si="219"/>
        <v>0</v>
      </c>
      <c r="AA150" s="49">
        <f t="shared" si="219"/>
        <v>0</v>
      </c>
      <c r="AB150" s="49">
        <f t="shared" si="219"/>
        <v>0</v>
      </c>
      <c r="AC150" s="49">
        <f t="shared" si="219"/>
        <v>0</v>
      </c>
      <c r="AD150" s="49">
        <f t="shared" si="219"/>
        <v>0</v>
      </c>
      <c r="AE150" s="49">
        <f t="shared" si="219"/>
        <v>0</v>
      </c>
      <c r="AF150" s="49">
        <f t="shared" si="219"/>
        <v>0</v>
      </c>
      <c r="AG150" s="49">
        <f t="shared" si="219"/>
        <v>0</v>
      </c>
      <c r="AH150" s="49">
        <f t="shared" si="219"/>
        <v>0</v>
      </c>
      <c r="AI150" s="49">
        <f t="shared" si="219"/>
        <v>0</v>
      </c>
      <c r="AJ150" s="49">
        <f t="shared" si="219"/>
        <v>0</v>
      </c>
      <c r="AK150" s="49">
        <f t="shared" si="219"/>
        <v>0</v>
      </c>
      <c r="AL150" s="49">
        <f t="shared" si="219"/>
        <v>0</v>
      </c>
      <c r="AM150" s="171"/>
      <c r="AN150" s="49">
        <f t="shared" si="219"/>
        <v>0</v>
      </c>
      <c r="AO150" s="49">
        <f t="shared" si="219"/>
        <v>0</v>
      </c>
      <c r="AP150" s="49">
        <f t="shared" si="219"/>
        <v>0</v>
      </c>
      <c r="AQ150" s="49">
        <f t="shared" si="219"/>
        <v>0</v>
      </c>
      <c r="AR150" s="49">
        <f t="shared" si="219"/>
        <v>0</v>
      </c>
      <c r="AS150" s="49">
        <f t="shared" si="219"/>
        <v>0</v>
      </c>
      <c r="AT150" s="171"/>
      <c r="AU150" s="49">
        <f t="shared" si="219"/>
        <v>0</v>
      </c>
      <c r="AV150" s="49">
        <f t="shared" si="219"/>
        <v>0</v>
      </c>
      <c r="AW150" s="49">
        <f t="shared" si="219"/>
        <v>0</v>
      </c>
      <c r="AX150" s="49">
        <f t="shared" si="219"/>
        <v>0</v>
      </c>
      <c r="AY150" s="49">
        <f t="shared" si="219"/>
        <v>0</v>
      </c>
      <c r="AZ150" s="49">
        <f t="shared" si="219"/>
        <v>0</v>
      </c>
      <c r="BA150" s="49">
        <f t="shared" si="219"/>
        <v>0</v>
      </c>
      <c r="BB150" s="49">
        <f t="shared" si="219"/>
        <v>0</v>
      </c>
      <c r="BC150" s="171"/>
      <c r="BD150" s="41">
        <f t="shared" ref="BD150:BJ150" si="220">+SUM(BD144:BD149)</f>
        <v>0</v>
      </c>
      <c r="BE150" s="49">
        <f t="shared" si="220"/>
        <v>1320</v>
      </c>
      <c r="BF150" s="41">
        <f t="shared" si="220"/>
        <v>1320</v>
      </c>
      <c r="BG150" s="41">
        <f t="shared" si="220"/>
        <v>1320</v>
      </c>
      <c r="BH150" s="41">
        <f t="shared" si="220"/>
        <v>672</v>
      </c>
      <c r="BI150" s="41">
        <f t="shared" si="220"/>
        <v>0</v>
      </c>
      <c r="BJ150" s="41">
        <f t="shared" si="220"/>
        <v>0</v>
      </c>
      <c r="BK150" s="41">
        <f>+SUM(BK144:BK149)</f>
        <v>0</v>
      </c>
      <c r="BL150" s="41">
        <f>+SUM(BL144:BL149)</f>
        <v>660</v>
      </c>
      <c r="BM150" s="41">
        <f t="shared" ref="BM150:BO150" si="221">+SUM(BM144:BM149)</f>
        <v>0</v>
      </c>
      <c r="BN150" s="41">
        <f t="shared" si="221"/>
        <v>0</v>
      </c>
      <c r="BO150" s="41">
        <f t="shared" si="221"/>
        <v>23786</v>
      </c>
      <c r="BP150" s="171"/>
      <c r="BQ150" s="49">
        <f>SUM(BQ144:BQ149)</f>
        <v>34658</v>
      </c>
      <c r="BS150" s="94">
        <f>SUM(BS144:BS149)</f>
        <v>11540.470000000001</v>
      </c>
      <c r="BT150" s="293">
        <f>SUM(BT144:BT149)</f>
        <v>24928.561509433963</v>
      </c>
    </row>
    <row r="151" spans="1:72">
      <c r="C151" s="23"/>
      <c r="D151" s="23"/>
      <c r="E151" s="23"/>
      <c r="F151" s="23"/>
      <c r="G151" s="23"/>
      <c r="H151" s="23"/>
      <c r="I151" s="167"/>
      <c r="J151" s="23"/>
      <c r="K151" s="23"/>
      <c r="L151" s="23"/>
      <c r="M151" s="23"/>
      <c r="N151" s="84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84"/>
      <c r="AN151" s="23"/>
      <c r="AO151" s="23"/>
      <c r="AP151" s="23"/>
      <c r="AQ151" s="23"/>
      <c r="AR151" s="23"/>
      <c r="AS151" s="23"/>
      <c r="AT151" s="84"/>
      <c r="AU151" s="23"/>
      <c r="AV151" s="23"/>
      <c r="AW151" s="23"/>
      <c r="AX151" s="23"/>
      <c r="AY151" s="23"/>
      <c r="AZ151" s="23"/>
      <c r="BA151" s="23"/>
      <c r="BB151" s="23"/>
      <c r="BC151" s="84"/>
      <c r="BD151" s="21"/>
      <c r="BE151" s="23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84"/>
      <c r="BS151" s="94"/>
    </row>
    <row r="152" spans="1:72">
      <c r="A152" s="31" t="s">
        <v>263</v>
      </c>
      <c r="C152" s="23"/>
      <c r="D152" s="23"/>
      <c r="E152" s="23"/>
      <c r="F152" s="23"/>
      <c r="G152" s="23"/>
      <c r="H152" s="23"/>
      <c r="I152" s="167"/>
      <c r="J152" s="23"/>
      <c r="K152" s="23"/>
      <c r="L152" s="23"/>
      <c r="M152" s="23"/>
      <c r="N152" s="84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84"/>
      <c r="AN152" s="23"/>
      <c r="AO152" s="23"/>
      <c r="AP152" s="23"/>
      <c r="AQ152" s="23"/>
      <c r="AR152" s="23"/>
      <c r="AS152" s="23"/>
      <c r="AT152" s="84"/>
      <c r="AU152" s="23"/>
      <c r="AV152" s="23"/>
      <c r="AW152" s="23"/>
      <c r="AX152" s="23"/>
      <c r="AY152" s="23"/>
      <c r="AZ152" s="23"/>
      <c r="BA152" s="23"/>
      <c r="BB152" s="23"/>
      <c r="BC152" s="84"/>
      <c r="BD152" s="21"/>
      <c r="BE152" s="23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84"/>
      <c r="BS152" s="94"/>
    </row>
    <row r="153" spans="1:72">
      <c r="A153" s="31" t="s">
        <v>264</v>
      </c>
      <c r="C153" s="23"/>
      <c r="D153" s="23"/>
      <c r="E153" s="23"/>
      <c r="F153" s="23"/>
      <c r="G153" s="23"/>
      <c r="H153" s="23"/>
      <c r="I153" s="167"/>
      <c r="J153" s="23"/>
      <c r="K153" s="23"/>
      <c r="L153" s="23"/>
      <c r="M153" s="23"/>
      <c r="N153" s="84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84"/>
      <c r="AN153" s="23"/>
      <c r="AO153" s="23"/>
      <c r="AP153" s="23"/>
      <c r="AQ153" s="23"/>
      <c r="AR153" s="23"/>
      <c r="AS153" s="23"/>
      <c r="AT153" s="84"/>
      <c r="AU153" s="23"/>
      <c r="AV153" s="23"/>
      <c r="AW153" s="23"/>
      <c r="AX153" s="23"/>
      <c r="AY153" s="23"/>
      <c r="AZ153" s="23"/>
      <c r="BA153" s="23"/>
      <c r="BB153" s="23"/>
      <c r="BC153" s="84"/>
      <c r="BD153" s="21"/>
      <c r="BE153" s="23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84"/>
      <c r="BS153" s="94"/>
    </row>
    <row r="154" spans="1:72" ht="12">
      <c r="A154" s="31" t="s">
        <v>71</v>
      </c>
      <c r="B154" s="31" t="s">
        <v>72</v>
      </c>
      <c r="C154" s="169"/>
      <c r="D154" s="169">
        <f>SUM(J154:M154)</f>
        <v>600</v>
      </c>
      <c r="E154" s="169">
        <f>SUM(O154:AS154)</f>
        <v>4500</v>
      </c>
      <c r="F154" s="169">
        <f>SUM(AU154:BB154)</f>
        <v>1200</v>
      </c>
      <c r="G154" s="169">
        <v>500</v>
      </c>
      <c r="H154" s="169">
        <v>250</v>
      </c>
      <c r="I154" s="167"/>
      <c r="J154" s="169">
        <v>150</v>
      </c>
      <c r="K154" s="169">
        <v>150</v>
      </c>
      <c r="L154" s="169">
        <v>150</v>
      </c>
      <c r="M154" s="169">
        <v>150</v>
      </c>
      <c r="N154" s="173"/>
      <c r="O154" s="169">
        <v>150</v>
      </c>
      <c r="P154" s="169">
        <v>150</v>
      </c>
      <c r="Q154" s="169">
        <v>150</v>
      </c>
      <c r="R154" s="169">
        <v>150</v>
      </c>
      <c r="S154" s="169">
        <v>150</v>
      </c>
      <c r="T154" s="169">
        <v>150</v>
      </c>
      <c r="U154" s="169">
        <v>150</v>
      </c>
      <c r="V154" s="169">
        <v>150</v>
      </c>
      <c r="W154" s="169">
        <v>150</v>
      </c>
      <c r="X154" s="169">
        <v>150</v>
      </c>
      <c r="Y154" s="169">
        <v>150</v>
      </c>
      <c r="Z154" s="169">
        <v>150</v>
      </c>
      <c r="AA154" s="169">
        <v>150</v>
      </c>
      <c r="AB154" s="169">
        <v>150</v>
      </c>
      <c r="AC154" s="169">
        <v>150</v>
      </c>
      <c r="AD154" s="169">
        <v>150</v>
      </c>
      <c r="AE154" s="169">
        <v>150</v>
      </c>
      <c r="AF154" s="169">
        <v>150</v>
      </c>
      <c r="AG154" s="169">
        <v>150</v>
      </c>
      <c r="AH154" s="169">
        <v>150</v>
      </c>
      <c r="AI154" s="169">
        <v>150</v>
      </c>
      <c r="AJ154" s="169">
        <v>150</v>
      </c>
      <c r="AK154" s="169">
        <v>150</v>
      </c>
      <c r="AL154" s="169">
        <v>150</v>
      </c>
      <c r="AM154" s="173"/>
      <c r="AN154" s="169">
        <v>150</v>
      </c>
      <c r="AO154" s="169">
        <v>150</v>
      </c>
      <c r="AP154" s="169">
        <v>150</v>
      </c>
      <c r="AQ154" s="169">
        <v>150</v>
      </c>
      <c r="AR154" s="169">
        <v>150</v>
      </c>
      <c r="AS154" s="169">
        <v>150</v>
      </c>
      <c r="AT154" s="173"/>
      <c r="AU154" s="169">
        <v>150</v>
      </c>
      <c r="AV154" s="169">
        <v>150</v>
      </c>
      <c r="AW154" s="169">
        <v>150</v>
      </c>
      <c r="AX154" s="169">
        <v>150</v>
      </c>
      <c r="AY154" s="169">
        <v>150</v>
      </c>
      <c r="AZ154" s="169">
        <v>150</v>
      </c>
      <c r="BA154" s="169">
        <v>150</v>
      </c>
      <c r="BB154" s="169">
        <v>150</v>
      </c>
      <c r="BC154" s="84"/>
      <c r="BD154" s="20">
        <f>SUM('AC-SVC'!C154)*BD$7</f>
        <v>0</v>
      </c>
      <c r="BE154" s="20">
        <f>SUM('AC-SVC'!D154)</f>
        <v>300</v>
      </c>
      <c r="BF154" s="20">
        <f>SUM('AC-SVC'!G154)</f>
        <v>100</v>
      </c>
      <c r="BG154" s="20">
        <f>SUM('AC-SVC'!J154)</f>
        <v>300</v>
      </c>
      <c r="BH154" s="20">
        <f>SUM('AC-SVC'!M154)</f>
        <v>1350</v>
      </c>
      <c r="BI154" s="20">
        <f>SUM('AC-SVC'!P154)*BI$7</f>
        <v>0</v>
      </c>
      <c r="BJ154" s="20">
        <f>SUM(PT!C154)</f>
        <v>0</v>
      </c>
      <c r="BK154" s="20">
        <f>SUM(CCLC!C154)</f>
        <v>0</v>
      </c>
      <c r="BL154" s="20">
        <f>SUM(FC!D154)</f>
        <v>500</v>
      </c>
      <c r="BM154" s="20">
        <f>SUM(FN!F154)*BM$7</f>
        <v>0</v>
      </c>
      <c r="BN154" s="20">
        <f>SUM(FS!D154)</f>
        <v>400</v>
      </c>
      <c r="BO154" s="20">
        <f>SUM(IT!D154)</f>
        <v>0</v>
      </c>
      <c r="BP154" s="84"/>
      <c r="BQ154" s="63">
        <f>SUM(C154:H154)+SUM(BD154:BO154)</f>
        <v>10000</v>
      </c>
      <c r="BS154" s="96">
        <f>SUM(Sheet1!C154)</f>
        <v>14061.41</v>
      </c>
      <c r="BT154" s="288">
        <f>SUM(Sheet1!I154)</f>
        <v>14133.904905660376</v>
      </c>
    </row>
    <row r="155" spans="1:72" s="30" customFormat="1" ht="10">
      <c r="A155" s="31"/>
      <c r="B155" s="31" t="s">
        <v>265</v>
      </c>
      <c r="C155" s="49">
        <f t="shared" ref="C155:BB155" si="222">SUM(C154)</f>
        <v>0</v>
      </c>
      <c r="D155" s="49">
        <f t="shared" si="222"/>
        <v>600</v>
      </c>
      <c r="E155" s="49">
        <f t="shared" si="222"/>
        <v>4500</v>
      </c>
      <c r="F155" s="49">
        <f t="shared" si="222"/>
        <v>1200</v>
      </c>
      <c r="G155" s="49">
        <f t="shared" si="222"/>
        <v>500</v>
      </c>
      <c r="H155" s="49">
        <f t="shared" si="222"/>
        <v>250</v>
      </c>
      <c r="I155" s="170"/>
      <c r="J155" s="49">
        <f t="shared" si="222"/>
        <v>150</v>
      </c>
      <c r="K155" s="49">
        <f t="shared" si="222"/>
        <v>150</v>
      </c>
      <c r="L155" s="49">
        <f t="shared" si="222"/>
        <v>150</v>
      </c>
      <c r="M155" s="49">
        <f t="shared" si="222"/>
        <v>150</v>
      </c>
      <c r="N155" s="171"/>
      <c r="O155" s="49">
        <f t="shared" si="222"/>
        <v>150</v>
      </c>
      <c r="P155" s="49">
        <f t="shared" si="222"/>
        <v>150</v>
      </c>
      <c r="Q155" s="49">
        <f t="shared" si="222"/>
        <v>150</v>
      </c>
      <c r="R155" s="49">
        <f t="shared" si="222"/>
        <v>150</v>
      </c>
      <c r="S155" s="49">
        <f t="shared" si="222"/>
        <v>150</v>
      </c>
      <c r="T155" s="49">
        <f t="shared" si="222"/>
        <v>150</v>
      </c>
      <c r="U155" s="49">
        <f t="shared" si="222"/>
        <v>150</v>
      </c>
      <c r="V155" s="49">
        <f t="shared" si="222"/>
        <v>150</v>
      </c>
      <c r="W155" s="49">
        <f t="shared" si="222"/>
        <v>150</v>
      </c>
      <c r="X155" s="49">
        <f t="shared" si="222"/>
        <v>150</v>
      </c>
      <c r="Y155" s="49">
        <f t="shared" si="222"/>
        <v>150</v>
      </c>
      <c r="Z155" s="49">
        <f t="shared" si="222"/>
        <v>150</v>
      </c>
      <c r="AA155" s="49">
        <f t="shared" si="222"/>
        <v>150</v>
      </c>
      <c r="AB155" s="49">
        <f t="shared" si="222"/>
        <v>150</v>
      </c>
      <c r="AC155" s="49">
        <f t="shared" si="222"/>
        <v>150</v>
      </c>
      <c r="AD155" s="49">
        <f t="shared" si="222"/>
        <v>150</v>
      </c>
      <c r="AE155" s="49">
        <f t="shared" si="222"/>
        <v>150</v>
      </c>
      <c r="AF155" s="49">
        <f t="shared" si="222"/>
        <v>150</v>
      </c>
      <c r="AG155" s="49">
        <f t="shared" si="222"/>
        <v>150</v>
      </c>
      <c r="AH155" s="49">
        <f t="shared" si="222"/>
        <v>150</v>
      </c>
      <c r="AI155" s="49">
        <f t="shared" si="222"/>
        <v>150</v>
      </c>
      <c r="AJ155" s="49">
        <f t="shared" si="222"/>
        <v>150</v>
      </c>
      <c r="AK155" s="49">
        <f t="shared" si="222"/>
        <v>150</v>
      </c>
      <c r="AL155" s="49">
        <f t="shared" si="222"/>
        <v>150</v>
      </c>
      <c r="AM155" s="171"/>
      <c r="AN155" s="49">
        <f t="shared" si="222"/>
        <v>150</v>
      </c>
      <c r="AO155" s="49">
        <f t="shared" si="222"/>
        <v>150</v>
      </c>
      <c r="AP155" s="49">
        <f t="shared" si="222"/>
        <v>150</v>
      </c>
      <c r="AQ155" s="49">
        <f t="shared" si="222"/>
        <v>150</v>
      </c>
      <c r="AR155" s="49">
        <f t="shared" si="222"/>
        <v>150</v>
      </c>
      <c r="AS155" s="49">
        <f t="shared" si="222"/>
        <v>150</v>
      </c>
      <c r="AT155" s="171"/>
      <c r="AU155" s="49">
        <f t="shared" si="222"/>
        <v>150</v>
      </c>
      <c r="AV155" s="49">
        <f t="shared" si="222"/>
        <v>150</v>
      </c>
      <c r="AW155" s="49">
        <f t="shared" si="222"/>
        <v>150</v>
      </c>
      <c r="AX155" s="49">
        <f t="shared" si="222"/>
        <v>150</v>
      </c>
      <c r="AY155" s="49">
        <f t="shared" si="222"/>
        <v>150</v>
      </c>
      <c r="AZ155" s="49">
        <f t="shared" si="222"/>
        <v>150</v>
      </c>
      <c r="BA155" s="49">
        <f t="shared" si="222"/>
        <v>150</v>
      </c>
      <c r="BB155" s="49">
        <f t="shared" si="222"/>
        <v>150</v>
      </c>
      <c r="BC155" s="171"/>
      <c r="BD155" s="41">
        <f t="shared" ref="BD155:BJ155" si="223">SUM(BD154)</f>
        <v>0</v>
      </c>
      <c r="BE155" s="41">
        <f t="shared" si="223"/>
        <v>300</v>
      </c>
      <c r="BF155" s="41">
        <f t="shared" si="223"/>
        <v>100</v>
      </c>
      <c r="BG155" s="41">
        <f t="shared" si="223"/>
        <v>300</v>
      </c>
      <c r="BH155" s="41">
        <f t="shared" si="223"/>
        <v>1350</v>
      </c>
      <c r="BI155" s="41">
        <f t="shared" si="223"/>
        <v>0</v>
      </c>
      <c r="BJ155" s="41">
        <f t="shared" si="223"/>
        <v>0</v>
      </c>
      <c r="BK155" s="41">
        <f t="shared" ref="BK155" si="224">SUM(BK154)</f>
        <v>0</v>
      </c>
      <c r="BL155" s="41">
        <f t="shared" ref="BL155" si="225">SUM(BL154)</f>
        <v>500</v>
      </c>
      <c r="BM155" s="41">
        <f t="shared" ref="BM155" si="226">SUM(BM154)</f>
        <v>0</v>
      </c>
      <c r="BN155" s="41">
        <f t="shared" ref="BN155" si="227">SUM(BN154)</f>
        <v>400</v>
      </c>
      <c r="BO155" s="41">
        <f t="shared" ref="BO155" si="228">SUM(BO154)</f>
        <v>0</v>
      </c>
      <c r="BP155" s="171"/>
      <c r="BQ155" s="49">
        <f>SUM(BQ154)</f>
        <v>10000</v>
      </c>
      <c r="BS155" s="94">
        <f>SUM(BS154)</f>
        <v>14061.41</v>
      </c>
      <c r="BT155" s="293">
        <f>SUM(BT154)</f>
        <v>14133.904905660376</v>
      </c>
    </row>
    <row r="156" spans="1:72">
      <c r="C156" s="23"/>
      <c r="D156" s="23"/>
      <c r="E156" s="23"/>
      <c r="F156" s="23"/>
      <c r="G156" s="23"/>
      <c r="H156" s="23"/>
      <c r="I156" s="167"/>
      <c r="J156" s="23"/>
      <c r="K156" s="23"/>
      <c r="L156" s="23"/>
      <c r="M156" s="23"/>
      <c r="N156" s="84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84"/>
      <c r="AN156" s="23"/>
      <c r="AO156" s="23"/>
      <c r="AP156" s="23"/>
      <c r="AQ156" s="23"/>
      <c r="AR156" s="23"/>
      <c r="AS156" s="23"/>
      <c r="AT156" s="84"/>
      <c r="AU156" s="23"/>
      <c r="AV156" s="23"/>
      <c r="AW156" s="23"/>
      <c r="AX156" s="23"/>
      <c r="AY156" s="23"/>
      <c r="AZ156" s="23"/>
      <c r="BA156" s="23"/>
      <c r="BB156" s="23"/>
      <c r="BC156" s="84"/>
      <c r="BD156" s="21"/>
      <c r="BE156" s="23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84"/>
      <c r="BS156" s="94"/>
    </row>
    <row r="157" spans="1:72">
      <c r="A157" s="31" t="s">
        <v>266</v>
      </c>
      <c r="C157" s="23"/>
      <c r="D157" s="23"/>
      <c r="E157" s="23"/>
      <c r="F157" s="23"/>
      <c r="G157" s="23"/>
      <c r="H157" s="23"/>
      <c r="I157" s="167"/>
      <c r="J157" s="23"/>
      <c r="K157" s="23"/>
      <c r="L157" s="23"/>
      <c r="M157" s="23"/>
      <c r="N157" s="84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84"/>
      <c r="AN157" s="23"/>
      <c r="AO157" s="23"/>
      <c r="AP157" s="23"/>
      <c r="AQ157" s="23"/>
      <c r="AR157" s="23"/>
      <c r="AS157" s="23"/>
      <c r="AT157" s="84"/>
      <c r="AU157" s="23"/>
      <c r="AV157" s="23"/>
      <c r="AW157" s="23"/>
      <c r="AX157" s="23"/>
      <c r="AY157" s="23"/>
      <c r="AZ157" s="23"/>
      <c r="BA157" s="23"/>
      <c r="BB157" s="23"/>
      <c r="BC157" s="84"/>
      <c r="BD157" s="21"/>
      <c r="BE157" s="23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84"/>
      <c r="BS157" s="94"/>
    </row>
    <row r="158" spans="1:72" ht="12">
      <c r="A158" s="31" t="s">
        <v>73</v>
      </c>
      <c r="B158" s="31" t="s">
        <v>74</v>
      </c>
      <c r="C158" s="23">
        <f>10*SUM!B4</f>
        <v>6400</v>
      </c>
      <c r="D158" s="23">
        <f t="shared" ref="D158:D170" si="229">SUM(J158:M158)</f>
        <v>6000</v>
      </c>
      <c r="E158" s="157">
        <f t="shared" ref="E158:E170" si="230">SUM(O158:AS158)</f>
        <v>41000</v>
      </c>
      <c r="F158" s="23">
        <f t="shared" ref="F158:F170" si="231">SUM(AU158:BB158)</f>
        <v>12000</v>
      </c>
      <c r="G158" s="23">
        <f>1500+1000</f>
        <v>2500</v>
      </c>
      <c r="H158" s="23">
        <v>1000</v>
      </c>
      <c r="I158" s="167"/>
      <c r="J158" s="23">
        <v>1500</v>
      </c>
      <c r="K158" s="23">
        <v>1500</v>
      </c>
      <c r="L158" s="23">
        <v>1500</v>
      </c>
      <c r="M158" s="23">
        <v>1500</v>
      </c>
      <c r="N158" s="84"/>
      <c r="O158" s="23">
        <v>1500</v>
      </c>
      <c r="P158" s="23">
        <v>1500</v>
      </c>
      <c r="Q158" s="23">
        <v>1500</v>
      </c>
      <c r="R158" s="23">
        <v>1500</v>
      </c>
      <c r="S158" s="23">
        <v>1500</v>
      </c>
      <c r="T158" s="23">
        <v>1500</v>
      </c>
      <c r="U158" s="23">
        <v>1500</v>
      </c>
      <c r="V158" s="23">
        <v>1500</v>
      </c>
      <c r="W158" s="23">
        <v>500</v>
      </c>
      <c r="X158" s="23">
        <v>1500</v>
      </c>
      <c r="Y158" s="23">
        <v>1500</v>
      </c>
      <c r="Z158" s="23">
        <v>1500</v>
      </c>
      <c r="AA158" s="23">
        <v>1500</v>
      </c>
      <c r="AB158" s="23">
        <v>500</v>
      </c>
      <c r="AC158" s="23">
        <v>1500</v>
      </c>
      <c r="AD158" s="23">
        <v>1500</v>
      </c>
      <c r="AE158" s="23">
        <v>1500</v>
      </c>
      <c r="AF158" s="23">
        <v>1500</v>
      </c>
      <c r="AG158" s="23">
        <v>500</v>
      </c>
      <c r="AH158" s="23">
        <v>1500</v>
      </c>
      <c r="AI158" s="23">
        <v>1500</v>
      </c>
      <c r="AJ158" s="23">
        <v>1500</v>
      </c>
      <c r="AK158" s="23">
        <v>1500</v>
      </c>
      <c r="AL158" s="23">
        <v>500</v>
      </c>
      <c r="AM158" s="84"/>
      <c r="AN158" s="23">
        <v>1500</v>
      </c>
      <c r="AO158" s="23">
        <v>1500</v>
      </c>
      <c r="AP158" s="23">
        <v>1500</v>
      </c>
      <c r="AQ158" s="23">
        <v>1500</v>
      </c>
      <c r="AR158" s="23">
        <v>1500</v>
      </c>
      <c r="AS158" s="23">
        <v>1500</v>
      </c>
      <c r="AT158" s="84"/>
      <c r="AU158" s="23">
        <v>1500</v>
      </c>
      <c r="AV158" s="23">
        <v>1500</v>
      </c>
      <c r="AW158" s="23">
        <v>1500</v>
      </c>
      <c r="AX158" s="23">
        <v>1500</v>
      </c>
      <c r="AY158" s="23">
        <v>1500</v>
      </c>
      <c r="AZ158" s="23">
        <v>1500</v>
      </c>
      <c r="BA158" s="23">
        <v>1500</v>
      </c>
      <c r="BB158" s="23">
        <v>1500</v>
      </c>
      <c r="BC158" s="84"/>
      <c r="BD158" s="61">
        <f>SUM('AC-SVC'!C158)*BD$7</f>
        <v>0</v>
      </c>
      <c r="BE158" s="61">
        <f>SUM('AC-SVC'!D158)</f>
        <v>1500</v>
      </c>
      <c r="BF158" s="61">
        <f>SUM('AC-SVC'!G158)</f>
        <v>1575</v>
      </c>
      <c r="BG158" s="61">
        <f>SUM('AC-SVC'!J158)</f>
        <v>1200</v>
      </c>
      <c r="BH158" s="61">
        <f>SUM('AC-SVC'!M158)</f>
        <v>700</v>
      </c>
      <c r="BI158" s="61">
        <f>SUM('AC-SVC'!P158)*BI$7</f>
        <v>0</v>
      </c>
      <c r="BJ158" s="61">
        <f>SUM(PT!C158)</f>
        <v>2300</v>
      </c>
      <c r="BK158" s="61">
        <f>SUM(CCLC!C158)</f>
        <v>0</v>
      </c>
      <c r="BL158" s="61">
        <f>SUM(FC!D158)</f>
        <v>40000</v>
      </c>
      <c r="BM158" s="61">
        <f>SUM(FN!F158)*BM$7</f>
        <v>0</v>
      </c>
      <c r="BN158" s="61">
        <f>SUM(FS!D158)</f>
        <v>18808.163265306124</v>
      </c>
      <c r="BO158" s="61">
        <f>SUM(IT!D158)</f>
        <v>2300</v>
      </c>
      <c r="BP158" s="84"/>
      <c r="BQ158" s="62">
        <f t="shared" ref="BQ158:BQ170" si="232">SUM(C158:H158)+SUM(BD158:BO158)</f>
        <v>137283.16326530612</v>
      </c>
      <c r="BS158" s="95">
        <f>SUM(Sheet1!C158)</f>
        <v>203726.6</v>
      </c>
      <c r="BT158" s="288">
        <f>+BS158</f>
        <v>203726.6</v>
      </c>
    </row>
    <row r="159" spans="1:72" ht="12">
      <c r="A159" s="31" t="s">
        <v>75</v>
      </c>
      <c r="B159" s="31" t="s">
        <v>154</v>
      </c>
      <c r="C159" s="23">
        <v>10000</v>
      </c>
      <c r="D159" s="23">
        <f t="shared" si="229"/>
        <v>0</v>
      </c>
      <c r="E159" s="157">
        <f t="shared" si="230"/>
        <v>0</v>
      </c>
      <c r="F159" s="23">
        <f t="shared" si="231"/>
        <v>0</v>
      </c>
      <c r="G159" s="23"/>
      <c r="H159" s="23"/>
      <c r="I159" s="167"/>
      <c r="J159" s="23"/>
      <c r="K159" s="23"/>
      <c r="L159" s="23"/>
      <c r="M159" s="23"/>
      <c r="N159" s="84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84"/>
      <c r="AN159" s="23"/>
      <c r="AO159" s="23"/>
      <c r="AP159" s="23"/>
      <c r="AQ159" s="23"/>
      <c r="AR159" s="23"/>
      <c r="AS159" s="23"/>
      <c r="AT159" s="84"/>
      <c r="AU159" s="23"/>
      <c r="AV159" s="23"/>
      <c r="AW159" s="23"/>
      <c r="AX159" s="23"/>
      <c r="AY159" s="23"/>
      <c r="AZ159" s="23"/>
      <c r="BA159" s="23"/>
      <c r="BB159" s="23"/>
      <c r="BC159" s="84"/>
      <c r="BD159" s="61">
        <f>SUM('AC-SVC'!C159)*BD$7</f>
        <v>0</v>
      </c>
      <c r="BE159" s="61">
        <f>SUM('AC-SVC'!D159)</f>
        <v>0</v>
      </c>
      <c r="BF159" s="61">
        <f>SUM('AC-SVC'!G159)</f>
        <v>0</v>
      </c>
      <c r="BG159" s="61">
        <f>SUM('AC-SVC'!J159)</f>
        <v>0</v>
      </c>
      <c r="BH159" s="61">
        <f>SUM('AC-SVC'!M159)</f>
        <v>725</v>
      </c>
      <c r="BI159" s="61">
        <f>SUM('AC-SVC'!P159)*BI$7</f>
        <v>0</v>
      </c>
      <c r="BJ159" s="61">
        <f>SUM(PT!C159)</f>
        <v>0</v>
      </c>
      <c r="BK159" s="61">
        <f>SUM(CCLC!C159)</f>
        <v>0</v>
      </c>
      <c r="BL159" s="61">
        <f>SUM(FC!D159)</f>
        <v>500</v>
      </c>
      <c r="BM159" s="61">
        <f>SUM(FN!F159)*BM$7</f>
        <v>0</v>
      </c>
      <c r="BN159" s="61">
        <f>SUM(FS!D159)</f>
        <v>0</v>
      </c>
      <c r="BO159" s="61">
        <f>SUM(IT!D159)</f>
        <v>8763</v>
      </c>
      <c r="BP159" s="84"/>
      <c r="BQ159" s="62">
        <f t="shared" si="232"/>
        <v>19988</v>
      </c>
      <c r="BS159" s="95">
        <f>SUM(Sheet1!C159)</f>
        <v>12695.66</v>
      </c>
      <c r="BT159" s="288">
        <f>SUM(Sheet1!I159)</f>
        <v>15089.219622641507</v>
      </c>
    </row>
    <row r="160" spans="1:72" ht="12">
      <c r="A160" s="31" t="s">
        <v>442</v>
      </c>
      <c r="B160" s="31" t="s">
        <v>97</v>
      </c>
      <c r="C160" s="23"/>
      <c r="D160" s="23">
        <f t="shared" si="229"/>
        <v>0</v>
      </c>
      <c r="E160" s="157">
        <f t="shared" si="230"/>
        <v>0</v>
      </c>
      <c r="F160" s="23">
        <f t="shared" si="231"/>
        <v>0</v>
      </c>
      <c r="G160" s="23"/>
      <c r="H160" s="23"/>
      <c r="I160" s="167"/>
      <c r="J160" s="23"/>
      <c r="K160" s="23"/>
      <c r="L160" s="23"/>
      <c r="M160" s="23"/>
      <c r="N160" s="84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84"/>
      <c r="AN160" s="23"/>
      <c r="AO160" s="23"/>
      <c r="AP160" s="23"/>
      <c r="AQ160" s="23"/>
      <c r="AR160" s="23"/>
      <c r="AS160" s="23"/>
      <c r="AT160" s="84"/>
      <c r="AU160" s="23"/>
      <c r="AV160" s="23"/>
      <c r="AW160" s="23"/>
      <c r="AX160" s="23"/>
      <c r="AY160" s="23"/>
      <c r="AZ160" s="23"/>
      <c r="BA160" s="23"/>
      <c r="BB160" s="23"/>
      <c r="BC160" s="84"/>
      <c r="BD160" s="61">
        <f>SUM('AC-SVC'!C160)*BD$7</f>
        <v>0</v>
      </c>
      <c r="BE160" s="61">
        <f>SUM('AC-SVC'!D160)</f>
        <v>0</v>
      </c>
      <c r="BF160" s="61">
        <f>SUM('AC-SVC'!G160)</f>
        <v>0</v>
      </c>
      <c r="BG160" s="61">
        <f>SUM('AC-SVC'!J160)</f>
        <v>0</v>
      </c>
      <c r="BH160" s="61">
        <f>SUM('AC-SVC'!M160)</f>
        <v>0</v>
      </c>
      <c r="BI160" s="61">
        <f>SUM('AC-SVC'!P160)*BI$7</f>
        <v>0</v>
      </c>
      <c r="BJ160" s="61">
        <f>SUM(PT!C160)</f>
        <v>0</v>
      </c>
      <c r="BK160" s="61">
        <f>SUM(CCLC!C160)</f>
        <v>0</v>
      </c>
      <c r="BL160" s="61">
        <f>SUM(FC!D160)</f>
        <v>25000</v>
      </c>
      <c r="BM160" s="61">
        <f>SUM(FN!F160)*BM$7</f>
        <v>0</v>
      </c>
      <c r="BN160" s="61">
        <f>SUM(FS!D160)</f>
        <v>3000</v>
      </c>
      <c r="BO160" s="61">
        <f>SUM(IT!D160)</f>
        <v>0</v>
      </c>
      <c r="BP160" s="84"/>
      <c r="BQ160" s="62">
        <f t="shared" si="232"/>
        <v>28000</v>
      </c>
      <c r="BS160" s="95">
        <f>SUM(Sheet1!C160)</f>
        <v>6532.56</v>
      </c>
      <c r="BT160" s="288">
        <f>SUM(Sheet1!I160)</f>
        <v>14971.858113207547</v>
      </c>
    </row>
    <row r="161" spans="1:72" ht="12">
      <c r="A161" s="31" t="s">
        <v>443</v>
      </c>
      <c r="B161" s="31" t="s">
        <v>421</v>
      </c>
      <c r="C161" s="23"/>
      <c r="D161" s="23">
        <f t="shared" si="229"/>
        <v>0</v>
      </c>
      <c r="E161" s="157">
        <f t="shared" si="230"/>
        <v>0</v>
      </c>
      <c r="F161" s="23">
        <f t="shared" si="231"/>
        <v>0</v>
      </c>
      <c r="G161" s="23"/>
      <c r="H161" s="23"/>
      <c r="I161" s="167"/>
      <c r="J161" s="23"/>
      <c r="K161" s="23"/>
      <c r="L161" s="23"/>
      <c r="M161" s="23"/>
      <c r="N161" s="84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84"/>
      <c r="AN161" s="23"/>
      <c r="AO161" s="23"/>
      <c r="AP161" s="23"/>
      <c r="AQ161" s="23"/>
      <c r="AR161" s="23"/>
      <c r="AS161" s="23"/>
      <c r="AT161" s="84"/>
      <c r="AU161" s="23"/>
      <c r="AV161" s="23"/>
      <c r="AW161" s="23"/>
      <c r="AX161" s="23"/>
      <c r="AY161" s="23"/>
      <c r="AZ161" s="23"/>
      <c r="BA161" s="23"/>
      <c r="BB161" s="23"/>
      <c r="BC161" s="84"/>
      <c r="BD161" s="61">
        <f>SUM('AC-SVC'!C161)*BD$7</f>
        <v>0</v>
      </c>
      <c r="BE161" s="61">
        <f>SUM('AC-SVC'!D161)</f>
        <v>0</v>
      </c>
      <c r="BF161" s="61">
        <f>SUM('AC-SVC'!G161)</f>
        <v>0</v>
      </c>
      <c r="BG161" s="61">
        <f>SUM('AC-SVC'!J161)</f>
        <v>0</v>
      </c>
      <c r="BH161" s="61">
        <f>SUM('AC-SVC'!M161)</f>
        <v>0</v>
      </c>
      <c r="BI161" s="61">
        <f>SUM('AC-SVC'!P161)*BI$7</f>
        <v>0</v>
      </c>
      <c r="BJ161" s="61">
        <f>SUM(PT!C161)</f>
        <v>0</v>
      </c>
      <c r="BK161" s="61">
        <f>SUM(CCLC!C161)</f>
        <v>0</v>
      </c>
      <c r="BL161" s="61">
        <f>SUM(FC!D161)</f>
        <v>0</v>
      </c>
      <c r="BM161" s="61">
        <f>SUM(FN!F161)*BM$7</f>
        <v>0</v>
      </c>
      <c r="BN161" s="61">
        <f>SUM(FS!D161)</f>
        <v>0</v>
      </c>
      <c r="BO161" s="61">
        <f>SUM(IT!D161)</f>
        <v>12029</v>
      </c>
      <c r="BP161" s="84"/>
      <c r="BQ161" s="62">
        <f t="shared" si="232"/>
        <v>12029</v>
      </c>
      <c r="BS161" s="95">
        <f>SUM(Sheet1!C161)</f>
        <v>1732.37</v>
      </c>
      <c r="BT161" s="288">
        <f>SUM(Sheet1!I161)</f>
        <v>4755.2664150943392</v>
      </c>
    </row>
    <row r="162" spans="1:72" ht="12">
      <c r="A162" s="31" t="s">
        <v>444</v>
      </c>
      <c r="B162" s="31" t="s">
        <v>423</v>
      </c>
      <c r="C162" s="23"/>
      <c r="D162" s="23">
        <f t="shared" si="229"/>
        <v>0</v>
      </c>
      <c r="E162" s="157">
        <f t="shared" si="230"/>
        <v>0</v>
      </c>
      <c r="F162" s="23">
        <f t="shared" si="231"/>
        <v>0</v>
      </c>
      <c r="G162" s="23"/>
      <c r="H162" s="23"/>
      <c r="I162" s="167"/>
      <c r="J162" s="23"/>
      <c r="K162" s="23"/>
      <c r="L162" s="23"/>
      <c r="M162" s="23"/>
      <c r="N162" s="84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84"/>
      <c r="AN162" s="23"/>
      <c r="AO162" s="23"/>
      <c r="AP162" s="23"/>
      <c r="AQ162" s="23"/>
      <c r="AR162" s="23"/>
      <c r="AS162" s="23"/>
      <c r="AT162" s="84"/>
      <c r="AU162" s="23"/>
      <c r="AV162" s="23"/>
      <c r="AW162" s="23"/>
      <c r="AX162" s="23"/>
      <c r="AY162" s="23"/>
      <c r="AZ162" s="23"/>
      <c r="BA162" s="23"/>
      <c r="BB162" s="23"/>
      <c r="BC162" s="84"/>
      <c r="BD162" s="61">
        <f>SUM('AC-SVC'!C162)*BD$7</f>
        <v>0</v>
      </c>
      <c r="BE162" s="61">
        <f>SUM('AC-SVC'!D162)</f>
        <v>0</v>
      </c>
      <c r="BF162" s="61">
        <f>SUM('AC-SVC'!G162)</f>
        <v>0</v>
      </c>
      <c r="BG162" s="61">
        <f>SUM('AC-SVC'!J162)</f>
        <v>0</v>
      </c>
      <c r="BH162" s="61">
        <f>SUM('AC-SVC'!M162)</f>
        <v>0</v>
      </c>
      <c r="BI162" s="61">
        <f>SUM('AC-SVC'!P162)*BI$7</f>
        <v>0</v>
      </c>
      <c r="BJ162" s="61">
        <f>SUM(PT!C162)</f>
        <v>0</v>
      </c>
      <c r="BK162" s="61">
        <f>SUM(CCLC!C162)</f>
        <v>0</v>
      </c>
      <c r="BL162" s="61">
        <f>SUM(FC!D162)</f>
        <v>0</v>
      </c>
      <c r="BM162" s="61">
        <f>SUM(FN!F162)*BM$7</f>
        <v>0</v>
      </c>
      <c r="BN162" s="61">
        <f>SUM(FS!D162)</f>
        <v>0</v>
      </c>
      <c r="BO162" s="61">
        <f>SUM(IT!D162)</f>
        <v>125312</v>
      </c>
      <c r="BP162" s="84"/>
      <c r="BQ162" s="62">
        <f t="shared" si="232"/>
        <v>125312</v>
      </c>
      <c r="BS162" s="95">
        <f>SUM(Sheet1!C162)</f>
        <v>98365.34</v>
      </c>
      <c r="BT162" s="288">
        <f>SUM(Sheet1!I162)</f>
        <v>117135.74641509433</v>
      </c>
    </row>
    <row r="163" spans="1:72" ht="12">
      <c r="A163" s="31" t="s">
        <v>445</v>
      </c>
      <c r="B163" s="31" t="s">
        <v>416</v>
      </c>
      <c r="C163" s="23"/>
      <c r="D163" s="23">
        <f t="shared" ref="D163" si="233">SUM(J163:M163)</f>
        <v>0</v>
      </c>
      <c r="E163" s="157">
        <f t="shared" si="230"/>
        <v>0</v>
      </c>
      <c r="F163" s="23">
        <f t="shared" ref="F163" si="234">SUM(AU163:BB163)</f>
        <v>0</v>
      </c>
      <c r="G163" s="23"/>
      <c r="H163" s="23"/>
      <c r="I163" s="167"/>
      <c r="J163" s="23"/>
      <c r="K163" s="23"/>
      <c r="L163" s="23"/>
      <c r="M163" s="23"/>
      <c r="N163" s="84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84"/>
      <c r="AN163" s="23"/>
      <c r="AO163" s="23"/>
      <c r="AP163" s="23"/>
      <c r="AQ163" s="23"/>
      <c r="AR163" s="23"/>
      <c r="AS163" s="23"/>
      <c r="AT163" s="84"/>
      <c r="AU163" s="23"/>
      <c r="AV163" s="23"/>
      <c r="AW163" s="23"/>
      <c r="AX163" s="23"/>
      <c r="AY163" s="23"/>
      <c r="AZ163" s="23"/>
      <c r="BA163" s="23"/>
      <c r="BB163" s="23"/>
      <c r="BC163" s="84"/>
      <c r="BD163" s="61">
        <f>SUM('AC-SVC'!C163)*BD$7</f>
        <v>0</v>
      </c>
      <c r="BE163" s="61">
        <f>SUM('AC-SVC'!D163)</f>
        <v>0</v>
      </c>
      <c r="BF163" s="61">
        <f>SUM('AC-SVC'!G163)</f>
        <v>0</v>
      </c>
      <c r="BG163" s="61">
        <f>SUM('AC-SVC'!J163)</f>
        <v>0</v>
      </c>
      <c r="BH163" s="61">
        <f>SUM('AC-SVC'!M163)</f>
        <v>0</v>
      </c>
      <c r="BI163" s="61">
        <f>SUM('AC-SVC'!P163)*BI$7</f>
        <v>0</v>
      </c>
      <c r="BJ163" s="61">
        <f>SUM(PT!C163)</f>
        <v>0</v>
      </c>
      <c r="BK163" s="61">
        <f>SUM(CCLC!C163)</f>
        <v>0</v>
      </c>
      <c r="BL163" s="61">
        <f>SUM(FC!D163)</f>
        <v>0</v>
      </c>
      <c r="BM163" s="61">
        <f>SUM(FN!F163)*BM$7</f>
        <v>0</v>
      </c>
      <c r="BN163" s="61">
        <f>SUM(FS!D163)</f>
        <v>0</v>
      </c>
      <c r="BO163" s="61">
        <f>SUM(IT!D163)</f>
        <v>0</v>
      </c>
      <c r="BP163" s="84"/>
      <c r="BQ163" s="62">
        <f t="shared" si="232"/>
        <v>0</v>
      </c>
      <c r="BS163" s="95">
        <f>SUM(Sheet1!C163)</f>
        <v>75</v>
      </c>
      <c r="BT163" s="288">
        <f>SUM(Sheet1!I163)</f>
        <v>62.889056603773582</v>
      </c>
    </row>
    <row r="164" spans="1:72" ht="12">
      <c r="A164" s="31" t="s">
        <v>76</v>
      </c>
      <c r="B164" s="31" t="s">
        <v>155</v>
      </c>
      <c r="C164" s="23"/>
      <c r="D164" s="23">
        <f t="shared" si="229"/>
        <v>0</v>
      </c>
      <c r="E164" s="157">
        <f t="shared" si="230"/>
        <v>0</v>
      </c>
      <c r="F164" s="23">
        <f t="shared" si="231"/>
        <v>0</v>
      </c>
      <c r="G164" s="23"/>
      <c r="H164" s="23"/>
      <c r="I164" s="167"/>
      <c r="J164" s="23"/>
      <c r="K164" s="23"/>
      <c r="L164" s="23"/>
      <c r="M164" s="23"/>
      <c r="N164" s="84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84"/>
      <c r="AN164" s="23"/>
      <c r="AO164" s="23"/>
      <c r="AP164" s="23"/>
      <c r="AQ164" s="23"/>
      <c r="AR164" s="23"/>
      <c r="AS164" s="23"/>
      <c r="AT164" s="84"/>
      <c r="AU164" s="23"/>
      <c r="AV164" s="23"/>
      <c r="AW164" s="23"/>
      <c r="AX164" s="23"/>
      <c r="AY164" s="23"/>
      <c r="AZ164" s="23"/>
      <c r="BA164" s="23"/>
      <c r="BB164" s="23"/>
      <c r="BC164" s="84"/>
      <c r="BD164" s="61">
        <f>SUM('AC-SVC'!C164)*BD$7</f>
        <v>0</v>
      </c>
      <c r="BE164" s="61">
        <f>SUM('AC-SVC'!D164)</f>
        <v>0</v>
      </c>
      <c r="BF164" s="61">
        <f>SUM('AC-SVC'!G164)</f>
        <v>0</v>
      </c>
      <c r="BG164" s="61">
        <f>SUM('AC-SVC'!J164)</f>
        <v>0</v>
      </c>
      <c r="BH164" s="61">
        <f>SUM('AC-SVC'!M164)</f>
        <v>0</v>
      </c>
      <c r="BI164" s="61">
        <f>SUM('AC-SVC'!P164)*BI$7</f>
        <v>0</v>
      </c>
      <c r="BJ164" s="61">
        <f>SUM(PT!C164)</f>
        <v>6800</v>
      </c>
      <c r="BK164" s="61">
        <f>SUM(CCLC!C164)</f>
        <v>0</v>
      </c>
      <c r="BL164" s="61">
        <f>SUM(FC!D164)</f>
        <v>0</v>
      </c>
      <c r="BM164" s="61">
        <f>SUM(FN!F164)*BM$7</f>
        <v>0</v>
      </c>
      <c r="BN164" s="61">
        <f>SUM(FS!D164)</f>
        <v>150528</v>
      </c>
      <c r="BO164" s="61">
        <f>SUM(IT!D164)</f>
        <v>0</v>
      </c>
      <c r="BP164" s="84"/>
      <c r="BQ164" s="62">
        <f t="shared" si="232"/>
        <v>157328</v>
      </c>
      <c r="BS164" s="95">
        <f>SUM(Sheet1!C164)</f>
        <v>127216.79</v>
      </c>
      <c r="BT164" s="288">
        <f>SUM(Sheet1!I164)</f>
        <v>175941.27698113208</v>
      </c>
    </row>
    <row r="165" spans="1:72" ht="12">
      <c r="A165" s="31" t="s">
        <v>79</v>
      </c>
      <c r="B165" s="31" t="s">
        <v>156</v>
      </c>
      <c r="C165" s="23"/>
      <c r="D165" s="23">
        <f t="shared" si="229"/>
        <v>0</v>
      </c>
      <c r="E165" s="157">
        <f t="shared" si="230"/>
        <v>0</v>
      </c>
      <c r="F165" s="23">
        <f t="shared" si="231"/>
        <v>0</v>
      </c>
      <c r="G165" s="23"/>
      <c r="H165" s="23"/>
      <c r="I165" s="167"/>
      <c r="J165" s="23"/>
      <c r="K165" s="23"/>
      <c r="L165" s="23"/>
      <c r="M165" s="23"/>
      <c r="N165" s="84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84"/>
      <c r="AN165" s="23"/>
      <c r="AO165" s="23"/>
      <c r="AP165" s="23"/>
      <c r="AQ165" s="23"/>
      <c r="AR165" s="23"/>
      <c r="AS165" s="23"/>
      <c r="AT165" s="84"/>
      <c r="AU165" s="23"/>
      <c r="AV165" s="23"/>
      <c r="AW165" s="23"/>
      <c r="AX165" s="23"/>
      <c r="AY165" s="23"/>
      <c r="AZ165" s="23"/>
      <c r="BA165" s="23"/>
      <c r="BB165" s="23"/>
      <c r="BC165" s="84"/>
      <c r="BD165" s="61">
        <f>SUM('AC-SVC'!C165)*BD$7</f>
        <v>0</v>
      </c>
      <c r="BE165" s="61">
        <f>SUM('AC-SVC'!D165)</f>
        <v>0</v>
      </c>
      <c r="BF165" s="61">
        <f>SUM('AC-SVC'!G165)</f>
        <v>0</v>
      </c>
      <c r="BG165" s="61">
        <f>SUM('AC-SVC'!J165)</f>
        <v>0</v>
      </c>
      <c r="BH165" s="61">
        <f>SUM('AC-SVC'!M165)</f>
        <v>0</v>
      </c>
      <c r="BI165" s="61">
        <f>SUM('AC-SVC'!P165)*BI$7</f>
        <v>0</v>
      </c>
      <c r="BJ165" s="61">
        <f>SUM(PT!C165)</f>
        <v>0</v>
      </c>
      <c r="BK165" s="61">
        <f>SUM(CCLC!C165)</f>
        <v>0</v>
      </c>
      <c r="BL165" s="61">
        <f>SUM(FC!D165)</f>
        <v>0</v>
      </c>
      <c r="BM165" s="61">
        <f>SUM(FN!F165)*BM$7</f>
        <v>0</v>
      </c>
      <c r="BN165" s="61">
        <f>SUM(FS!D165)</f>
        <v>3809.5238095238096</v>
      </c>
      <c r="BO165" s="61">
        <f>SUM(IT!D165)</f>
        <v>0</v>
      </c>
      <c r="BP165" s="84"/>
      <c r="BQ165" s="62">
        <f t="shared" si="232"/>
        <v>3809.5238095238096</v>
      </c>
      <c r="BS165" s="95">
        <f>SUM(Sheet1!C165)</f>
        <v>0</v>
      </c>
      <c r="BT165" s="288">
        <f>+BQ165</f>
        <v>3809.5238095238096</v>
      </c>
    </row>
    <row r="166" spans="1:72" ht="12">
      <c r="A166" s="31" t="s">
        <v>78</v>
      </c>
      <c r="B166" s="31" t="s">
        <v>157</v>
      </c>
      <c r="C166" s="23"/>
      <c r="D166" s="23">
        <f t="shared" si="229"/>
        <v>0</v>
      </c>
      <c r="E166" s="157">
        <f t="shared" si="230"/>
        <v>0</v>
      </c>
      <c r="F166" s="23">
        <f t="shared" si="231"/>
        <v>0</v>
      </c>
      <c r="G166" s="23"/>
      <c r="H166" s="23"/>
      <c r="I166" s="167"/>
      <c r="J166" s="23"/>
      <c r="K166" s="23"/>
      <c r="L166" s="23"/>
      <c r="M166" s="23"/>
      <c r="N166" s="84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84"/>
      <c r="AN166" s="23"/>
      <c r="AO166" s="23"/>
      <c r="AP166" s="23"/>
      <c r="AQ166" s="23"/>
      <c r="AR166" s="23"/>
      <c r="AS166" s="23"/>
      <c r="AT166" s="84"/>
      <c r="AU166" s="23"/>
      <c r="AV166" s="23"/>
      <c r="AW166" s="23"/>
      <c r="AX166" s="23"/>
      <c r="AY166" s="23"/>
      <c r="AZ166" s="23"/>
      <c r="BA166" s="23"/>
      <c r="BB166" s="23"/>
      <c r="BC166" s="84"/>
      <c r="BD166" s="61">
        <f>SUM('AC-SVC'!C166)*BD$7</f>
        <v>0</v>
      </c>
      <c r="BE166" s="61">
        <f>SUM('AC-SVC'!D166)</f>
        <v>0</v>
      </c>
      <c r="BF166" s="61">
        <f>SUM('AC-SVC'!G166)</f>
        <v>0</v>
      </c>
      <c r="BG166" s="61">
        <f>SUM('AC-SVC'!J166)</f>
        <v>0</v>
      </c>
      <c r="BH166" s="61">
        <f>SUM('AC-SVC'!M166)</f>
        <v>0</v>
      </c>
      <c r="BI166" s="61">
        <f>SUM('AC-SVC'!P166)*BI$7</f>
        <v>0</v>
      </c>
      <c r="BJ166" s="61">
        <f>SUM(PT!C166)</f>
        <v>0</v>
      </c>
      <c r="BK166" s="61">
        <f>SUM(CCLC!C166)</f>
        <v>0</v>
      </c>
      <c r="BL166" s="61">
        <f>SUM(FC!D166)</f>
        <v>0</v>
      </c>
      <c r="BM166" s="61">
        <f>SUM(FN!F166)*BM$7</f>
        <v>0</v>
      </c>
      <c r="BN166" s="61">
        <f>SUM(FS!D166)</f>
        <v>1088.4353741496598</v>
      </c>
      <c r="BO166" s="61">
        <f>SUM(IT!D166)</f>
        <v>0</v>
      </c>
      <c r="BP166" s="84"/>
      <c r="BQ166" s="62">
        <f t="shared" si="232"/>
        <v>1088.4353741496598</v>
      </c>
      <c r="BS166" s="95">
        <f>SUM(Sheet1!C166)</f>
        <v>0</v>
      </c>
      <c r="BT166" s="288">
        <f>+BQ166</f>
        <v>1088.4353741496598</v>
      </c>
    </row>
    <row r="167" spans="1:72" ht="12">
      <c r="A167" s="31" t="s">
        <v>77</v>
      </c>
      <c r="B167" s="31" t="s">
        <v>158</v>
      </c>
      <c r="C167" s="23">
        <f>100*SUM!B4</f>
        <v>64000</v>
      </c>
      <c r="D167" s="23">
        <f t="shared" si="229"/>
        <v>0</v>
      </c>
      <c r="E167" s="157">
        <f t="shared" si="230"/>
        <v>0</v>
      </c>
      <c r="F167" s="23">
        <f t="shared" si="231"/>
        <v>0</v>
      </c>
      <c r="G167" s="23"/>
      <c r="H167" s="23"/>
      <c r="I167" s="167"/>
      <c r="J167" s="23"/>
      <c r="K167" s="23"/>
      <c r="L167" s="23"/>
      <c r="M167" s="23"/>
      <c r="N167" s="84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84"/>
      <c r="AN167" s="23"/>
      <c r="AO167" s="23"/>
      <c r="AP167" s="23"/>
      <c r="AQ167" s="23"/>
      <c r="AR167" s="23"/>
      <c r="AS167" s="23"/>
      <c r="AT167" s="84"/>
      <c r="AU167" s="23"/>
      <c r="AV167" s="23"/>
      <c r="AW167" s="23"/>
      <c r="AX167" s="23"/>
      <c r="AY167" s="23"/>
      <c r="AZ167" s="23"/>
      <c r="BA167" s="23"/>
      <c r="BB167" s="23"/>
      <c r="BC167" s="84"/>
      <c r="BD167" s="61">
        <f>SUM('AC-SVC'!C167)*BD$7</f>
        <v>0</v>
      </c>
      <c r="BE167" s="61">
        <f>SUM('AC-SVC'!D167)</f>
        <v>0</v>
      </c>
      <c r="BF167" s="61">
        <f>SUM('AC-SVC'!G167)</f>
        <v>0</v>
      </c>
      <c r="BG167" s="61">
        <f>SUM('AC-SVC'!J167)</f>
        <v>0</v>
      </c>
      <c r="BH167" s="61">
        <f>SUM('AC-SVC'!M167)</f>
        <v>0</v>
      </c>
      <c r="BI167" s="61">
        <f>SUM('AC-SVC'!P167)*BI$7</f>
        <v>0</v>
      </c>
      <c r="BJ167" s="61">
        <f>SUM(PT!C167)</f>
        <v>0</v>
      </c>
      <c r="BK167" s="61">
        <f>SUM(CCLC!C167)</f>
        <v>0</v>
      </c>
      <c r="BL167" s="61">
        <f>SUM(FC!D167)</f>
        <v>0</v>
      </c>
      <c r="BM167" s="61">
        <f>SUM(FN!F167)*BM$7</f>
        <v>0</v>
      </c>
      <c r="BN167" s="61">
        <f>SUM(FS!D167)</f>
        <v>0</v>
      </c>
      <c r="BO167" s="61">
        <f>SUM(IT!D167)</f>
        <v>0</v>
      </c>
      <c r="BP167" s="84"/>
      <c r="BQ167" s="62">
        <f t="shared" si="232"/>
        <v>64000</v>
      </c>
      <c r="BS167" s="95">
        <f>SUM(Sheet1!C167)</f>
        <v>50000</v>
      </c>
      <c r="BT167" s="288">
        <f>SUM(Sheet1!I167)</f>
        <v>96603.773584905663</v>
      </c>
    </row>
    <row r="168" spans="1:72" ht="12">
      <c r="A168" s="31" t="s">
        <v>80</v>
      </c>
      <c r="B168" s="31" t="s">
        <v>159</v>
      </c>
      <c r="C168" s="23">
        <f>50*SUM!B4</f>
        <v>32000</v>
      </c>
      <c r="D168" s="23">
        <f t="shared" si="229"/>
        <v>0</v>
      </c>
      <c r="E168" s="157">
        <f t="shared" si="230"/>
        <v>0</v>
      </c>
      <c r="F168" s="23">
        <f t="shared" si="231"/>
        <v>0</v>
      </c>
      <c r="G168" s="23"/>
      <c r="H168" s="23"/>
      <c r="I168" s="167"/>
      <c r="J168" s="23"/>
      <c r="K168" s="23"/>
      <c r="L168" s="23"/>
      <c r="M168" s="23"/>
      <c r="N168" s="84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84"/>
      <c r="AN168" s="23"/>
      <c r="AO168" s="23"/>
      <c r="AP168" s="23"/>
      <c r="AQ168" s="23"/>
      <c r="AR168" s="23"/>
      <c r="AS168" s="23"/>
      <c r="AT168" s="84"/>
      <c r="AU168" s="23"/>
      <c r="AV168" s="23"/>
      <c r="AW168" s="23"/>
      <c r="AX168" s="23"/>
      <c r="AY168" s="23"/>
      <c r="AZ168" s="23"/>
      <c r="BA168" s="23"/>
      <c r="BB168" s="23"/>
      <c r="BC168" s="84"/>
      <c r="BD168" s="61">
        <f>SUM('AC-SVC'!C168)*BD$7</f>
        <v>0</v>
      </c>
      <c r="BE168" s="61">
        <f>SUM('AC-SVC'!D168)</f>
        <v>0</v>
      </c>
      <c r="BF168" s="61">
        <f>SUM('AC-SVC'!G168)</f>
        <v>0</v>
      </c>
      <c r="BG168" s="61">
        <f>SUM('AC-SVC'!J168)</f>
        <v>0</v>
      </c>
      <c r="BH168" s="61">
        <f>SUM('AC-SVC'!M168)</f>
        <v>0</v>
      </c>
      <c r="BI168" s="61">
        <f>SUM('AC-SVC'!P168)*BI$7</f>
        <v>0</v>
      </c>
      <c r="BJ168" s="61">
        <f>SUM(PT!C168)</f>
        <v>0</v>
      </c>
      <c r="BK168" s="61">
        <f>SUM(CCLC!C168)</f>
        <v>0</v>
      </c>
      <c r="BL168" s="61">
        <f>SUM(FC!D168)</f>
        <v>0</v>
      </c>
      <c r="BM168" s="61">
        <f>SUM(FN!F168)*BM$7</f>
        <v>0</v>
      </c>
      <c r="BN168" s="61">
        <f>SUM(FS!D168)</f>
        <v>0</v>
      </c>
      <c r="BO168" s="61">
        <f>SUM(IT!D168)</f>
        <v>0</v>
      </c>
      <c r="BP168" s="84"/>
      <c r="BQ168" s="62">
        <f t="shared" si="232"/>
        <v>32000</v>
      </c>
      <c r="BS168" s="95">
        <f>SUM(Sheet1!C168)</f>
        <v>28827.16</v>
      </c>
      <c r="BT168" s="288">
        <f>SUM(Sheet1!I168)</f>
        <v>23525.458113207547</v>
      </c>
    </row>
    <row r="169" spans="1:72" ht="12">
      <c r="A169" s="31" t="s">
        <v>81</v>
      </c>
      <c r="B169" s="31" t="s">
        <v>160</v>
      </c>
      <c r="C169" s="23"/>
      <c r="D169" s="23">
        <f t="shared" si="229"/>
        <v>0</v>
      </c>
      <c r="E169" s="157">
        <f t="shared" si="230"/>
        <v>0</v>
      </c>
      <c r="F169" s="23">
        <f t="shared" si="231"/>
        <v>0</v>
      </c>
      <c r="G169" s="23"/>
      <c r="H169" s="23"/>
      <c r="I169" s="167"/>
      <c r="J169" s="23"/>
      <c r="K169" s="23"/>
      <c r="L169" s="23"/>
      <c r="M169" s="23"/>
      <c r="N169" s="84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84"/>
      <c r="AN169" s="23"/>
      <c r="AO169" s="23"/>
      <c r="AP169" s="23"/>
      <c r="AQ169" s="23"/>
      <c r="AR169" s="23"/>
      <c r="AS169" s="23"/>
      <c r="AT169" s="84"/>
      <c r="AU169" s="23"/>
      <c r="AV169" s="23"/>
      <c r="AW169" s="23"/>
      <c r="AX169" s="23"/>
      <c r="AY169" s="23"/>
      <c r="AZ169" s="23"/>
      <c r="BA169" s="23"/>
      <c r="BB169" s="23"/>
      <c r="BC169" s="84"/>
      <c r="BD169" s="61">
        <f>SUM('AC-SVC'!C169)*BD$7</f>
        <v>0</v>
      </c>
      <c r="BE169" s="61">
        <f>SUM('AC-SVC'!D169)</f>
        <v>0</v>
      </c>
      <c r="BF169" s="61">
        <f>SUM('AC-SVC'!G169)</f>
        <v>0</v>
      </c>
      <c r="BG169" s="61">
        <f>SUM('AC-SVC'!J169)</f>
        <v>0</v>
      </c>
      <c r="BH169" s="61">
        <f>SUM('AC-SVC'!M169)</f>
        <v>2324</v>
      </c>
      <c r="BI169" s="61">
        <f>SUM('AC-SVC'!P169)*BI$7</f>
        <v>0</v>
      </c>
      <c r="BJ169" s="61">
        <f>SUM(PT!C169)</f>
        <v>0</v>
      </c>
      <c r="BK169" s="61">
        <f>SUM(CCLC!C169)</f>
        <v>0</v>
      </c>
      <c r="BL169" s="61">
        <f>SUM(FC!D169)</f>
        <v>0</v>
      </c>
      <c r="BM169" s="61">
        <f>SUM(FN!F169)*BM$7</f>
        <v>0</v>
      </c>
      <c r="BN169" s="61">
        <f>SUM(FS!D169)</f>
        <v>0</v>
      </c>
      <c r="BO169" s="61">
        <f>SUM(IT!D169)</f>
        <v>0</v>
      </c>
      <c r="BP169" s="84"/>
      <c r="BQ169" s="62">
        <f t="shared" si="232"/>
        <v>2324</v>
      </c>
      <c r="BS169" s="95">
        <f>SUM(Sheet1!C169)</f>
        <v>0</v>
      </c>
      <c r="BT169" s="288">
        <f>+BQ169</f>
        <v>2324</v>
      </c>
    </row>
    <row r="170" spans="1:72" ht="12">
      <c r="A170" s="31" t="s">
        <v>161</v>
      </c>
      <c r="B170" s="31" t="s">
        <v>162</v>
      </c>
      <c r="C170" s="169"/>
      <c r="D170" s="169">
        <f t="shared" si="229"/>
        <v>0</v>
      </c>
      <c r="E170" s="169">
        <f t="shared" si="230"/>
        <v>0</v>
      </c>
      <c r="F170" s="169">
        <f t="shared" si="231"/>
        <v>0</v>
      </c>
      <c r="G170" s="169"/>
      <c r="H170" s="169"/>
      <c r="I170" s="167"/>
      <c r="J170" s="169"/>
      <c r="K170" s="169"/>
      <c r="L170" s="169"/>
      <c r="M170" s="169"/>
      <c r="N170" s="173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73"/>
      <c r="AN170" s="169"/>
      <c r="AO170" s="169"/>
      <c r="AP170" s="169"/>
      <c r="AQ170" s="169"/>
      <c r="AR170" s="169"/>
      <c r="AS170" s="169"/>
      <c r="AT170" s="173"/>
      <c r="AU170" s="169"/>
      <c r="AV170" s="169"/>
      <c r="AW170" s="169"/>
      <c r="AX170" s="169"/>
      <c r="AY170" s="169"/>
      <c r="AZ170" s="169"/>
      <c r="BA170" s="169"/>
      <c r="BB170" s="169"/>
      <c r="BC170" s="84"/>
      <c r="BD170" s="20">
        <f>SUM('AC-SVC'!C170)*BD$7</f>
        <v>0</v>
      </c>
      <c r="BE170" s="20">
        <f>SUM('AC-SVC'!D170)</f>
        <v>0</v>
      </c>
      <c r="BF170" s="20">
        <f>SUM('AC-SVC'!G170)</f>
        <v>0</v>
      </c>
      <c r="BG170" s="20">
        <f>SUM('AC-SVC'!J170)</f>
        <v>0</v>
      </c>
      <c r="BH170" s="20">
        <f>SUM('AC-SVC'!M170)</f>
        <v>2250</v>
      </c>
      <c r="BI170" s="20">
        <f>SUM('AC-SVC'!P170)*BI$7</f>
        <v>0</v>
      </c>
      <c r="BJ170" s="20">
        <f>SUM(PT!C170)</f>
        <v>0</v>
      </c>
      <c r="BK170" s="20">
        <f>SUM(CCLC!C170)</f>
        <v>0</v>
      </c>
      <c r="BL170" s="20">
        <f>SUM(FC!D170)</f>
        <v>0</v>
      </c>
      <c r="BM170" s="20">
        <f>SUM(FN!F170)*BM$7</f>
        <v>0</v>
      </c>
      <c r="BN170" s="20">
        <f>SUM(FS!D170)</f>
        <v>0</v>
      </c>
      <c r="BO170" s="20">
        <f>SUM(IT!D170)</f>
        <v>0</v>
      </c>
      <c r="BP170" s="84"/>
      <c r="BQ170" s="63">
        <f t="shared" si="232"/>
        <v>2250</v>
      </c>
      <c r="BS170" s="96">
        <f>SUM(Sheet1!C170)</f>
        <v>2856.09</v>
      </c>
      <c r="BT170" s="288">
        <f>+BS170</f>
        <v>2856.09</v>
      </c>
    </row>
    <row r="171" spans="1:72" s="30" customFormat="1" ht="10">
      <c r="A171" s="31"/>
      <c r="B171" s="31" t="s">
        <v>163</v>
      </c>
      <c r="C171" s="49">
        <f t="shared" ref="C171:BB171" si="235">SUM(C158:C170)</f>
        <v>112400</v>
      </c>
      <c r="D171" s="49">
        <f t="shared" si="235"/>
        <v>6000</v>
      </c>
      <c r="E171" s="49">
        <f t="shared" si="235"/>
        <v>41000</v>
      </c>
      <c r="F171" s="49">
        <f t="shared" si="235"/>
        <v>12000</v>
      </c>
      <c r="G171" s="49">
        <f t="shared" si="235"/>
        <v>2500</v>
      </c>
      <c r="H171" s="49">
        <f t="shared" si="235"/>
        <v>1000</v>
      </c>
      <c r="I171" s="170"/>
      <c r="J171" s="49">
        <f t="shared" si="235"/>
        <v>1500</v>
      </c>
      <c r="K171" s="49">
        <f t="shared" si="235"/>
        <v>1500</v>
      </c>
      <c r="L171" s="49">
        <f t="shared" si="235"/>
        <v>1500</v>
      </c>
      <c r="M171" s="49">
        <f t="shared" si="235"/>
        <v>1500</v>
      </c>
      <c r="N171" s="171"/>
      <c r="O171" s="49">
        <f t="shared" si="235"/>
        <v>1500</v>
      </c>
      <c r="P171" s="49">
        <f t="shared" si="235"/>
        <v>1500</v>
      </c>
      <c r="Q171" s="49">
        <f t="shared" si="235"/>
        <v>1500</v>
      </c>
      <c r="R171" s="49">
        <f t="shared" si="235"/>
        <v>1500</v>
      </c>
      <c r="S171" s="49">
        <f t="shared" si="235"/>
        <v>1500</v>
      </c>
      <c r="T171" s="49">
        <f t="shared" si="235"/>
        <v>1500</v>
      </c>
      <c r="U171" s="49">
        <f t="shared" si="235"/>
        <v>1500</v>
      </c>
      <c r="V171" s="49">
        <f t="shared" si="235"/>
        <v>1500</v>
      </c>
      <c r="W171" s="49">
        <f t="shared" si="235"/>
        <v>500</v>
      </c>
      <c r="X171" s="49">
        <f t="shared" si="235"/>
        <v>1500</v>
      </c>
      <c r="Y171" s="49">
        <f t="shared" si="235"/>
        <v>1500</v>
      </c>
      <c r="Z171" s="49">
        <f t="shared" si="235"/>
        <v>1500</v>
      </c>
      <c r="AA171" s="49">
        <f t="shared" si="235"/>
        <v>1500</v>
      </c>
      <c r="AB171" s="49">
        <f t="shared" si="235"/>
        <v>500</v>
      </c>
      <c r="AC171" s="49">
        <f t="shared" si="235"/>
        <v>1500</v>
      </c>
      <c r="AD171" s="49">
        <f t="shared" si="235"/>
        <v>1500</v>
      </c>
      <c r="AE171" s="49">
        <f t="shared" si="235"/>
        <v>1500</v>
      </c>
      <c r="AF171" s="49">
        <f t="shared" si="235"/>
        <v>1500</v>
      </c>
      <c r="AG171" s="49">
        <f t="shared" si="235"/>
        <v>500</v>
      </c>
      <c r="AH171" s="49">
        <f t="shared" si="235"/>
        <v>1500</v>
      </c>
      <c r="AI171" s="49">
        <f t="shared" si="235"/>
        <v>1500</v>
      </c>
      <c r="AJ171" s="49">
        <f t="shared" si="235"/>
        <v>1500</v>
      </c>
      <c r="AK171" s="49">
        <f t="shared" si="235"/>
        <v>1500</v>
      </c>
      <c r="AL171" s="49">
        <f t="shared" si="235"/>
        <v>500</v>
      </c>
      <c r="AM171" s="171"/>
      <c r="AN171" s="49">
        <f t="shared" si="235"/>
        <v>1500</v>
      </c>
      <c r="AO171" s="49">
        <f t="shared" si="235"/>
        <v>1500</v>
      </c>
      <c r="AP171" s="49">
        <f t="shared" si="235"/>
        <v>1500</v>
      </c>
      <c r="AQ171" s="49">
        <f t="shared" si="235"/>
        <v>1500</v>
      </c>
      <c r="AR171" s="49">
        <f t="shared" si="235"/>
        <v>1500</v>
      </c>
      <c r="AS171" s="49">
        <f t="shared" si="235"/>
        <v>1500</v>
      </c>
      <c r="AT171" s="171"/>
      <c r="AU171" s="49">
        <f t="shared" si="235"/>
        <v>1500</v>
      </c>
      <c r="AV171" s="49">
        <f t="shared" si="235"/>
        <v>1500</v>
      </c>
      <c r="AW171" s="49">
        <f t="shared" si="235"/>
        <v>1500</v>
      </c>
      <c r="AX171" s="49">
        <f t="shared" si="235"/>
        <v>1500</v>
      </c>
      <c r="AY171" s="49">
        <f t="shared" si="235"/>
        <v>1500</v>
      </c>
      <c r="AZ171" s="49">
        <f t="shared" si="235"/>
        <v>1500</v>
      </c>
      <c r="BA171" s="49">
        <f t="shared" si="235"/>
        <v>1500</v>
      </c>
      <c r="BB171" s="49">
        <f t="shared" si="235"/>
        <v>1500</v>
      </c>
      <c r="BC171" s="171"/>
      <c r="BD171" s="41">
        <f t="shared" ref="BD171:BJ171" si="236">SUM(BD158:BD170)</f>
        <v>0</v>
      </c>
      <c r="BE171" s="41">
        <f t="shared" si="236"/>
        <v>1500</v>
      </c>
      <c r="BF171" s="41">
        <f t="shared" si="236"/>
        <v>1575</v>
      </c>
      <c r="BG171" s="41">
        <f t="shared" si="236"/>
        <v>1200</v>
      </c>
      <c r="BH171" s="41">
        <f t="shared" si="236"/>
        <v>5999</v>
      </c>
      <c r="BI171" s="41">
        <f t="shared" si="236"/>
        <v>0</v>
      </c>
      <c r="BJ171" s="41">
        <f t="shared" si="236"/>
        <v>9100</v>
      </c>
      <c r="BK171" s="41">
        <f t="shared" ref="BK171" si="237">SUM(BK158:BK170)</f>
        <v>0</v>
      </c>
      <c r="BL171" s="41">
        <f t="shared" ref="BL171" si="238">SUM(BL158:BL170)</f>
        <v>65500</v>
      </c>
      <c r="BM171" s="41">
        <f t="shared" ref="BM171" si="239">SUM(BM158:BM170)</f>
        <v>0</v>
      </c>
      <c r="BN171" s="41">
        <f t="shared" ref="BN171" si="240">SUM(BN158:BN170)</f>
        <v>177234.12244897959</v>
      </c>
      <c r="BO171" s="41">
        <f t="shared" ref="BO171" si="241">SUM(BO158:BO170)</f>
        <v>148404</v>
      </c>
      <c r="BP171" s="171"/>
      <c r="BQ171" s="49">
        <f>SUM(BQ158:BQ170)</f>
        <v>585412.12244897964</v>
      </c>
      <c r="BS171" s="94">
        <f>SUM(BS158:BS170)</f>
        <v>532027.56999999995</v>
      </c>
      <c r="BT171" s="293">
        <f>SUM(BT158:BT170)</f>
        <v>661890.13748556026</v>
      </c>
    </row>
    <row r="172" spans="1:72">
      <c r="C172" s="23"/>
      <c r="D172" s="23"/>
      <c r="E172" s="23"/>
      <c r="F172" s="23"/>
      <c r="G172" s="23"/>
      <c r="H172" s="23"/>
      <c r="I172" s="167"/>
      <c r="J172" s="23"/>
      <c r="K172" s="23"/>
      <c r="L172" s="23"/>
      <c r="M172" s="23"/>
      <c r="N172" s="84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84"/>
      <c r="AN172" s="23"/>
      <c r="AO172" s="23"/>
      <c r="AP172" s="23"/>
      <c r="AQ172" s="23"/>
      <c r="AR172" s="23"/>
      <c r="AS172" s="23"/>
      <c r="AT172" s="84"/>
      <c r="AU172" s="23"/>
      <c r="AV172" s="23"/>
      <c r="AW172" s="23"/>
      <c r="AX172" s="23"/>
      <c r="AY172" s="23"/>
      <c r="AZ172" s="23"/>
      <c r="BA172" s="23"/>
      <c r="BB172" s="23"/>
      <c r="BC172" s="84"/>
      <c r="BD172" s="21"/>
      <c r="BE172" s="23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84"/>
      <c r="BS172" s="94"/>
    </row>
    <row r="173" spans="1:72">
      <c r="A173" s="31" t="s">
        <v>164</v>
      </c>
      <c r="C173" s="23"/>
      <c r="D173" s="23"/>
      <c r="E173" s="23"/>
      <c r="F173" s="23"/>
      <c r="G173" s="23"/>
      <c r="H173" s="23"/>
      <c r="I173" s="167"/>
      <c r="J173" s="23"/>
      <c r="K173" s="23"/>
      <c r="L173" s="23"/>
      <c r="M173" s="23"/>
      <c r="N173" s="84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84"/>
      <c r="AN173" s="23"/>
      <c r="AO173" s="23"/>
      <c r="AP173" s="23"/>
      <c r="AQ173" s="23"/>
      <c r="AR173" s="23"/>
      <c r="AS173" s="23"/>
      <c r="AT173" s="84"/>
      <c r="AU173" s="23"/>
      <c r="AV173" s="23"/>
      <c r="AW173" s="23"/>
      <c r="AX173" s="23"/>
      <c r="AY173" s="23"/>
      <c r="AZ173" s="23"/>
      <c r="BA173" s="23"/>
      <c r="BB173" s="23"/>
      <c r="BC173" s="84"/>
      <c r="BD173" s="21"/>
      <c r="BE173" s="23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84"/>
      <c r="BS173" s="94"/>
    </row>
    <row r="174" spans="1:72">
      <c r="A174" s="31" t="s">
        <v>165</v>
      </c>
      <c r="C174" s="23"/>
      <c r="D174" s="23"/>
      <c r="E174" s="23"/>
      <c r="F174" s="23"/>
      <c r="G174" s="23"/>
      <c r="H174" s="23"/>
      <c r="I174" s="167"/>
      <c r="J174" s="23"/>
      <c r="K174" s="23"/>
      <c r="L174" s="23"/>
      <c r="M174" s="23"/>
      <c r="N174" s="84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84"/>
      <c r="AN174" s="23"/>
      <c r="AO174" s="23"/>
      <c r="AP174" s="23"/>
      <c r="AQ174" s="23"/>
      <c r="AR174" s="23"/>
      <c r="AS174" s="23"/>
      <c r="AT174" s="84"/>
      <c r="AU174" s="23"/>
      <c r="AV174" s="23"/>
      <c r="AW174" s="23"/>
      <c r="AX174" s="23"/>
      <c r="AY174" s="23"/>
      <c r="AZ174" s="23"/>
      <c r="BA174" s="23"/>
      <c r="BB174" s="23"/>
      <c r="BC174" s="84"/>
      <c r="BD174" s="21"/>
      <c r="BE174" s="23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84"/>
      <c r="BS174" s="94"/>
    </row>
    <row r="175" spans="1:72" ht="12">
      <c r="A175" s="31" t="s">
        <v>86</v>
      </c>
      <c r="B175" s="31" t="s">
        <v>85</v>
      </c>
      <c r="C175" s="23">
        <f t="shared" ref="C175:BM175" si="242">SUM(C38+C49)*0.15</f>
        <v>882096</v>
      </c>
      <c r="D175" s="23">
        <f t="shared" si="242"/>
        <v>0</v>
      </c>
      <c r="E175" s="23">
        <f t="shared" si="242"/>
        <v>0</v>
      </c>
      <c r="F175" s="23">
        <f t="shared" si="242"/>
        <v>0</v>
      </c>
      <c r="G175" s="23">
        <f t="shared" si="242"/>
        <v>0</v>
      </c>
      <c r="H175" s="23">
        <f t="shared" si="242"/>
        <v>0</v>
      </c>
      <c r="I175" s="167"/>
      <c r="J175" s="23">
        <f t="shared" si="242"/>
        <v>0</v>
      </c>
      <c r="K175" s="23">
        <f t="shared" si="242"/>
        <v>0</v>
      </c>
      <c r="L175" s="23">
        <f t="shared" si="242"/>
        <v>0</v>
      </c>
      <c r="M175" s="23">
        <f t="shared" si="242"/>
        <v>0</v>
      </c>
      <c r="N175" s="84"/>
      <c r="O175" s="23">
        <f t="shared" si="242"/>
        <v>0</v>
      </c>
      <c r="P175" s="23">
        <f t="shared" si="242"/>
        <v>0</v>
      </c>
      <c r="Q175" s="23">
        <f t="shared" si="242"/>
        <v>0</v>
      </c>
      <c r="R175" s="23">
        <f t="shared" si="242"/>
        <v>0</v>
      </c>
      <c r="S175" s="23">
        <f t="shared" si="242"/>
        <v>0</v>
      </c>
      <c r="T175" s="23">
        <f t="shared" si="242"/>
        <v>0</v>
      </c>
      <c r="U175" s="23">
        <f t="shared" si="242"/>
        <v>0</v>
      </c>
      <c r="V175" s="23">
        <f t="shared" si="242"/>
        <v>0</v>
      </c>
      <c r="W175" s="23">
        <f t="shared" si="242"/>
        <v>0</v>
      </c>
      <c r="X175" s="23">
        <f t="shared" si="242"/>
        <v>0</v>
      </c>
      <c r="Y175" s="23">
        <f t="shared" si="242"/>
        <v>0</v>
      </c>
      <c r="Z175" s="23">
        <f t="shared" si="242"/>
        <v>0</v>
      </c>
      <c r="AA175" s="23">
        <f t="shared" si="242"/>
        <v>0</v>
      </c>
      <c r="AB175" s="23">
        <f t="shared" si="242"/>
        <v>0</v>
      </c>
      <c r="AC175" s="23">
        <f t="shared" si="242"/>
        <v>0</v>
      </c>
      <c r="AD175" s="23">
        <f t="shared" si="242"/>
        <v>0</v>
      </c>
      <c r="AE175" s="23">
        <f t="shared" si="242"/>
        <v>0</v>
      </c>
      <c r="AF175" s="23">
        <f t="shared" si="242"/>
        <v>0</v>
      </c>
      <c r="AG175" s="23">
        <f t="shared" si="242"/>
        <v>0</v>
      </c>
      <c r="AH175" s="23">
        <f t="shared" si="242"/>
        <v>0</v>
      </c>
      <c r="AI175" s="23">
        <f t="shared" si="242"/>
        <v>0</v>
      </c>
      <c r="AJ175" s="23">
        <f t="shared" si="242"/>
        <v>0</v>
      </c>
      <c r="AK175" s="23">
        <f t="shared" si="242"/>
        <v>0</v>
      </c>
      <c r="AL175" s="23">
        <f t="shared" si="242"/>
        <v>0</v>
      </c>
      <c r="AM175" s="84"/>
      <c r="AN175" s="23">
        <f t="shared" si="242"/>
        <v>0</v>
      </c>
      <c r="AO175" s="23">
        <f t="shared" si="242"/>
        <v>0</v>
      </c>
      <c r="AP175" s="23">
        <f t="shared" si="242"/>
        <v>0</v>
      </c>
      <c r="AQ175" s="23">
        <f t="shared" si="242"/>
        <v>0</v>
      </c>
      <c r="AR175" s="23">
        <f t="shared" si="242"/>
        <v>0</v>
      </c>
      <c r="AS175" s="23">
        <f t="shared" si="242"/>
        <v>0</v>
      </c>
      <c r="AT175" s="84"/>
      <c r="AU175" s="23">
        <f t="shared" si="242"/>
        <v>0</v>
      </c>
      <c r="AV175" s="23">
        <f t="shared" si="242"/>
        <v>0</v>
      </c>
      <c r="AW175" s="23">
        <f t="shared" si="242"/>
        <v>0</v>
      </c>
      <c r="AX175" s="23">
        <f t="shared" si="242"/>
        <v>0</v>
      </c>
      <c r="AY175" s="23">
        <f t="shared" si="242"/>
        <v>0</v>
      </c>
      <c r="AZ175" s="23">
        <f t="shared" si="242"/>
        <v>0</v>
      </c>
      <c r="BA175" s="23">
        <f t="shared" si="242"/>
        <v>0</v>
      </c>
      <c r="BB175" s="23">
        <f t="shared" si="242"/>
        <v>0</v>
      </c>
      <c r="BC175" s="84"/>
      <c r="BD175" s="23">
        <f t="shared" si="242"/>
        <v>0</v>
      </c>
      <c r="BE175" s="23">
        <f t="shared" si="242"/>
        <v>0</v>
      </c>
      <c r="BF175" s="23">
        <f t="shared" si="242"/>
        <v>0</v>
      </c>
      <c r="BG175" s="23">
        <f t="shared" si="242"/>
        <v>0</v>
      </c>
      <c r="BH175" s="23">
        <f t="shared" si="242"/>
        <v>120</v>
      </c>
      <c r="BI175" s="23">
        <f t="shared" si="242"/>
        <v>0</v>
      </c>
      <c r="BJ175" s="23">
        <f t="shared" si="242"/>
        <v>11205</v>
      </c>
      <c r="BK175" s="23">
        <f t="shared" si="242"/>
        <v>0</v>
      </c>
      <c r="BL175" s="23">
        <f t="shared" si="242"/>
        <v>0</v>
      </c>
      <c r="BM175" s="23">
        <f t="shared" si="242"/>
        <v>0</v>
      </c>
      <c r="BN175" s="61">
        <f>SUM(FS!D175)</f>
        <v>0</v>
      </c>
      <c r="BO175" s="23">
        <f t="shared" ref="BO175" si="243">SUM(BO38+BO49)*0.15</f>
        <v>0</v>
      </c>
      <c r="BP175" s="84"/>
      <c r="BQ175" s="62">
        <f t="shared" ref="BQ175:BQ185" si="244">SUM(C175:H175)+SUM(BD175:BO175)</f>
        <v>893421</v>
      </c>
      <c r="BS175" s="95">
        <f>SUM(Sheet1!C175)</f>
        <v>850399.49</v>
      </c>
      <c r="BT175" s="288">
        <f>+BQ175</f>
        <v>893421</v>
      </c>
    </row>
    <row r="176" spans="1:72" ht="12">
      <c r="A176" s="31" t="s">
        <v>91</v>
      </c>
      <c r="B176" s="31" t="s">
        <v>92</v>
      </c>
      <c r="C176" s="23"/>
      <c r="D176" s="23">
        <f t="shared" ref="D176:D185" si="245">SUM(J176:M176)</f>
        <v>0</v>
      </c>
      <c r="E176" s="157">
        <f t="shared" ref="E176:E183" si="246">SUM(O176:AS176)</f>
        <v>0</v>
      </c>
      <c r="F176" s="23">
        <f t="shared" ref="F176:F185" si="247">SUM(AU176:BB176)</f>
        <v>0</v>
      </c>
      <c r="G176" s="23"/>
      <c r="H176" s="23"/>
      <c r="I176" s="167"/>
      <c r="J176" s="23"/>
      <c r="K176" s="23"/>
      <c r="L176" s="23"/>
      <c r="M176" s="23"/>
      <c r="N176" s="84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84"/>
      <c r="AN176" s="23"/>
      <c r="AO176" s="23"/>
      <c r="AP176" s="23"/>
      <c r="AQ176" s="23"/>
      <c r="AR176" s="23"/>
      <c r="AS176" s="23"/>
      <c r="AT176" s="84"/>
      <c r="AU176" s="23"/>
      <c r="AV176" s="23"/>
      <c r="AW176" s="23"/>
      <c r="AX176" s="23"/>
      <c r="AY176" s="23"/>
      <c r="AZ176" s="23"/>
      <c r="BA176" s="23"/>
      <c r="BB176" s="23"/>
      <c r="BC176" s="84"/>
      <c r="BD176" s="61">
        <f>SUM('AC-SVC'!C176)*BD$7</f>
        <v>0</v>
      </c>
      <c r="BE176" s="61">
        <f>SUM('AC-SVC'!D176)</f>
        <v>0</v>
      </c>
      <c r="BF176" s="61">
        <f>SUM('AC-SVC'!G176)</f>
        <v>0</v>
      </c>
      <c r="BG176" s="61">
        <f>SUM('AC-SVC'!J176)</f>
        <v>0</v>
      </c>
      <c r="BH176" s="61">
        <f>SUM('AC-SVC'!M176)</f>
        <v>0</v>
      </c>
      <c r="BI176" s="61">
        <f>SUM('AC-SVC'!P176)*BI$7</f>
        <v>0</v>
      </c>
      <c r="BJ176" s="61">
        <f>SUM(PT!C176)</f>
        <v>0</v>
      </c>
      <c r="BK176" s="61">
        <f>SUM(CCLC!C176)</f>
        <v>0</v>
      </c>
      <c r="BL176" s="61">
        <f>SUM(FC!D176)</f>
        <v>210000</v>
      </c>
      <c r="BM176" s="61">
        <f>SUM(FN!F176)*BM$7</f>
        <v>0</v>
      </c>
      <c r="BN176" s="61">
        <f>SUM(FS!D176)</f>
        <v>0</v>
      </c>
      <c r="BO176" s="61">
        <f>SUM(IT!D176)</f>
        <v>0</v>
      </c>
      <c r="BP176" s="84"/>
      <c r="BQ176" s="62">
        <f t="shared" si="244"/>
        <v>210000</v>
      </c>
      <c r="BS176" s="95">
        <f>SUM(Sheet1!C176)</f>
        <v>16249.88</v>
      </c>
      <c r="BT176" s="288">
        <f>SUM(Sheet1!I176)</f>
        <v>31382.001509433958</v>
      </c>
    </row>
    <row r="177" spans="1:72" ht="12">
      <c r="A177" s="31" t="s">
        <v>93</v>
      </c>
      <c r="B177" s="31" t="s">
        <v>94</v>
      </c>
      <c r="C177" s="23"/>
      <c r="D177" s="23">
        <f t="shared" si="245"/>
        <v>0</v>
      </c>
      <c r="E177" s="157">
        <f t="shared" si="246"/>
        <v>0</v>
      </c>
      <c r="F177" s="23">
        <f t="shared" si="247"/>
        <v>0</v>
      </c>
      <c r="G177" s="23"/>
      <c r="H177" s="23"/>
      <c r="I177" s="167"/>
      <c r="J177" s="23"/>
      <c r="K177" s="23"/>
      <c r="L177" s="23"/>
      <c r="M177" s="23"/>
      <c r="N177" s="84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84"/>
      <c r="AN177" s="23"/>
      <c r="AO177" s="23"/>
      <c r="AP177" s="23"/>
      <c r="AQ177" s="23"/>
      <c r="AR177" s="23"/>
      <c r="AS177" s="23"/>
      <c r="AT177" s="84"/>
      <c r="AU177" s="23"/>
      <c r="AV177" s="23"/>
      <c r="AW177" s="23"/>
      <c r="AX177" s="23"/>
      <c r="AY177" s="23"/>
      <c r="AZ177" s="23"/>
      <c r="BA177" s="23"/>
      <c r="BB177" s="23"/>
      <c r="BC177" s="84"/>
      <c r="BD177" s="61">
        <f>SUM('AC-SVC'!C177)*BD$7</f>
        <v>0</v>
      </c>
      <c r="BE177" s="61">
        <f>SUM('AC-SVC'!D177)</f>
        <v>0</v>
      </c>
      <c r="BF177" s="61">
        <f>SUM('AC-SVC'!G177)</f>
        <v>0</v>
      </c>
      <c r="BG177" s="61">
        <f>SUM('AC-SVC'!J177)</f>
        <v>0</v>
      </c>
      <c r="BH177" s="61">
        <f>SUM('AC-SVC'!M177)</f>
        <v>0</v>
      </c>
      <c r="BI177" s="61">
        <f>SUM('AC-SVC'!P177)*BI$7</f>
        <v>0</v>
      </c>
      <c r="BJ177" s="61">
        <f>SUM(PT!C177)</f>
        <v>0</v>
      </c>
      <c r="BK177" s="61">
        <f>SUM(CCLC!C177)</f>
        <v>0</v>
      </c>
      <c r="BL177" s="61">
        <f>SUM(FC!D177)</f>
        <v>0</v>
      </c>
      <c r="BM177" s="61">
        <f>SUM(FN!F177)*BM$7</f>
        <v>0</v>
      </c>
      <c r="BN177" s="61">
        <f>SUM(FS!D177)</f>
        <v>0</v>
      </c>
      <c r="BO177" s="61">
        <f>SUM(IT!D177)</f>
        <v>0</v>
      </c>
      <c r="BP177" s="84"/>
      <c r="BQ177" s="62">
        <f t="shared" si="244"/>
        <v>0</v>
      </c>
      <c r="BS177" s="95">
        <f>SUM(Sheet1!C177)</f>
        <v>0</v>
      </c>
      <c r="BT177" s="288">
        <f>SUM(Sheet1!I177)</f>
        <v>0</v>
      </c>
    </row>
    <row r="178" spans="1:72" ht="12">
      <c r="A178" s="31" t="s">
        <v>95</v>
      </c>
      <c r="B178" s="31" t="s">
        <v>405</v>
      </c>
      <c r="C178" s="23"/>
      <c r="D178" s="23">
        <f t="shared" si="245"/>
        <v>0</v>
      </c>
      <c r="E178" s="157">
        <f t="shared" si="246"/>
        <v>0</v>
      </c>
      <c r="F178" s="23">
        <f t="shared" si="247"/>
        <v>0</v>
      </c>
      <c r="G178" s="23"/>
      <c r="H178" s="23"/>
      <c r="I178" s="167"/>
      <c r="J178" s="23"/>
      <c r="K178" s="23"/>
      <c r="L178" s="23"/>
      <c r="M178" s="23"/>
      <c r="N178" s="84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84"/>
      <c r="AN178" s="23"/>
      <c r="AO178" s="23"/>
      <c r="AP178" s="23"/>
      <c r="AQ178" s="23"/>
      <c r="AR178" s="23"/>
      <c r="AS178" s="23"/>
      <c r="AT178" s="84"/>
      <c r="AU178" s="23"/>
      <c r="AV178" s="23"/>
      <c r="AW178" s="23"/>
      <c r="AX178" s="23"/>
      <c r="AY178" s="23"/>
      <c r="AZ178" s="23"/>
      <c r="BA178" s="23"/>
      <c r="BB178" s="23"/>
      <c r="BC178" s="84"/>
      <c r="BD178" s="61">
        <f>SUM('AC-SVC'!C178)*BD$7</f>
        <v>0</v>
      </c>
      <c r="BE178" s="61">
        <f>SUM('AC-SVC'!D178)</f>
        <v>0</v>
      </c>
      <c r="BF178" s="61">
        <f>SUM('AC-SVC'!G178)</f>
        <v>0</v>
      </c>
      <c r="BG178" s="61">
        <f>SUM('AC-SVC'!J178)</f>
        <v>0</v>
      </c>
      <c r="BH178" s="61">
        <f>SUM('AC-SVC'!M178)</f>
        <v>0</v>
      </c>
      <c r="BI178" s="61">
        <f>SUM('AC-SVC'!P178)*BI$7</f>
        <v>0</v>
      </c>
      <c r="BJ178" s="61">
        <f>SUM(PT!C178)</f>
        <v>0</v>
      </c>
      <c r="BK178" s="61">
        <f>SUM(CCLC!C178)</f>
        <v>0</v>
      </c>
      <c r="BL178" s="61">
        <f>SUM(FC!D178)</f>
        <v>0</v>
      </c>
      <c r="BM178" s="61">
        <f>SUM(FN!F178)*BM$7</f>
        <v>0</v>
      </c>
      <c r="BN178" s="61">
        <f>SUM(FS!D178)</f>
        <v>0</v>
      </c>
      <c r="BO178" s="61">
        <f>SUM(IT!D178)</f>
        <v>0</v>
      </c>
      <c r="BP178" s="84"/>
      <c r="BQ178" s="62">
        <f t="shared" si="244"/>
        <v>0</v>
      </c>
      <c r="BS178" s="95">
        <f>SUM(Sheet1!C178)</f>
        <v>0</v>
      </c>
      <c r="BT178" s="288">
        <f>SUM(Sheet1!I178)</f>
        <v>0</v>
      </c>
    </row>
    <row r="179" spans="1:72" ht="12">
      <c r="A179" s="31" t="s">
        <v>96</v>
      </c>
      <c r="B179" s="31" t="s">
        <v>404</v>
      </c>
      <c r="C179" s="23"/>
      <c r="D179" s="23">
        <f t="shared" si="245"/>
        <v>0</v>
      </c>
      <c r="E179" s="157">
        <f t="shared" si="246"/>
        <v>0</v>
      </c>
      <c r="F179" s="23">
        <f t="shared" si="247"/>
        <v>0</v>
      </c>
      <c r="G179" s="23"/>
      <c r="H179" s="23"/>
      <c r="I179" s="167"/>
      <c r="J179" s="23"/>
      <c r="K179" s="23"/>
      <c r="L179" s="23"/>
      <c r="M179" s="23"/>
      <c r="N179" s="84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84"/>
      <c r="AN179" s="23"/>
      <c r="AO179" s="23"/>
      <c r="AP179" s="23"/>
      <c r="AQ179" s="23"/>
      <c r="AR179" s="23"/>
      <c r="AS179" s="23"/>
      <c r="AT179" s="84"/>
      <c r="AU179" s="23"/>
      <c r="AV179" s="23"/>
      <c r="AW179" s="23"/>
      <c r="AX179" s="23"/>
      <c r="AY179" s="23"/>
      <c r="AZ179" s="23"/>
      <c r="BA179" s="23"/>
      <c r="BB179" s="23"/>
      <c r="BC179" s="84"/>
      <c r="BD179" s="61">
        <f>SUM('AC-SVC'!C179)*BD$7</f>
        <v>0</v>
      </c>
      <c r="BE179" s="61">
        <f>SUM('AC-SVC'!D179)</f>
        <v>0</v>
      </c>
      <c r="BF179" s="61">
        <f>SUM('AC-SVC'!G179)</f>
        <v>0</v>
      </c>
      <c r="BG179" s="61">
        <f>SUM('AC-SVC'!J179)</f>
        <v>0</v>
      </c>
      <c r="BH179" s="61">
        <f>SUM('AC-SVC'!M179)</f>
        <v>0</v>
      </c>
      <c r="BI179" s="61">
        <f>SUM('AC-SVC'!P179)*BI$7</f>
        <v>0</v>
      </c>
      <c r="BJ179" s="61">
        <f>SUM(PT!C179)</f>
        <v>0</v>
      </c>
      <c r="BK179" s="61">
        <f>SUM(CCLC!C179)</f>
        <v>0</v>
      </c>
      <c r="BL179" s="61">
        <f>SUM(FC!D179)</f>
        <v>0</v>
      </c>
      <c r="BM179" s="61">
        <f>SUM(FN!F179)*BM$7</f>
        <v>0</v>
      </c>
      <c r="BN179" s="61">
        <f>SUM(FS!D179)</f>
        <v>0</v>
      </c>
      <c r="BO179" s="61">
        <f>SUM(IT!D179)</f>
        <v>35000</v>
      </c>
      <c r="BP179" s="84"/>
      <c r="BQ179" s="62">
        <f t="shared" si="244"/>
        <v>35000</v>
      </c>
      <c r="BS179" s="95">
        <f>SUM(Sheet1!C179)</f>
        <v>0</v>
      </c>
      <c r="BT179" s="288">
        <f>SUM(Sheet1!I179)</f>
        <v>0</v>
      </c>
    </row>
    <row r="180" spans="1:72" ht="12">
      <c r="A180" s="31" t="s">
        <v>98</v>
      </c>
      <c r="B180" s="31" t="s">
        <v>99</v>
      </c>
      <c r="C180" s="23"/>
      <c r="D180" s="23">
        <f t="shared" si="245"/>
        <v>0</v>
      </c>
      <c r="E180" s="157">
        <f t="shared" si="246"/>
        <v>0</v>
      </c>
      <c r="F180" s="23">
        <f t="shared" si="247"/>
        <v>0</v>
      </c>
      <c r="G180" s="23"/>
      <c r="H180" s="23"/>
      <c r="I180" s="167"/>
      <c r="J180" s="23"/>
      <c r="K180" s="23"/>
      <c r="L180" s="23"/>
      <c r="M180" s="23"/>
      <c r="N180" s="84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84"/>
      <c r="AN180" s="23"/>
      <c r="AO180" s="23"/>
      <c r="AP180" s="23"/>
      <c r="AQ180" s="23"/>
      <c r="AR180" s="23"/>
      <c r="AS180" s="23"/>
      <c r="AT180" s="84"/>
      <c r="AU180" s="23"/>
      <c r="AV180" s="23"/>
      <c r="AW180" s="23"/>
      <c r="AX180" s="23"/>
      <c r="AY180" s="23"/>
      <c r="AZ180" s="23"/>
      <c r="BA180" s="23"/>
      <c r="BB180" s="23"/>
      <c r="BC180" s="84"/>
      <c r="BD180" s="61">
        <f>SUM('AC-SVC'!C180)*BD$7</f>
        <v>0</v>
      </c>
      <c r="BE180" s="61">
        <f>SUM('AC-SVC'!D180)</f>
        <v>0</v>
      </c>
      <c r="BF180" s="61">
        <f>SUM('AC-SVC'!G180)</f>
        <v>0</v>
      </c>
      <c r="BG180" s="61">
        <f>SUM('AC-SVC'!J180)</f>
        <v>0</v>
      </c>
      <c r="BH180" s="61">
        <f>SUM('AC-SVC'!M180)</f>
        <v>0</v>
      </c>
      <c r="BI180" s="61">
        <f>SUM('AC-SVC'!P180)*BI$7</f>
        <v>0</v>
      </c>
      <c r="BJ180" s="61">
        <f>SUM(PT!C180)</f>
        <v>0</v>
      </c>
      <c r="BK180" s="61">
        <f>SUM(CCLC!C180)</f>
        <v>0</v>
      </c>
      <c r="BL180" s="61">
        <f>SUM(FC!D180)</f>
        <v>0</v>
      </c>
      <c r="BM180" s="61">
        <f>SUM(FN!F180)*BM$7</f>
        <v>0</v>
      </c>
      <c r="BN180" s="61">
        <f>SUM(FS!D180)</f>
        <v>0</v>
      </c>
      <c r="BO180" s="61">
        <f>SUM(IT!D180)</f>
        <v>0</v>
      </c>
      <c r="BP180" s="84"/>
      <c r="BQ180" s="62">
        <f t="shared" si="244"/>
        <v>0</v>
      </c>
      <c r="BS180" s="95">
        <f>SUM(Sheet1!C180)</f>
        <v>0</v>
      </c>
      <c r="BT180" s="288">
        <f>SUM(Sheet1!I180)</f>
        <v>0</v>
      </c>
    </row>
    <row r="181" spans="1:72" ht="12">
      <c r="A181" s="31" t="s">
        <v>100</v>
      </c>
      <c r="B181" s="31" t="s">
        <v>284</v>
      </c>
      <c r="C181" s="23"/>
      <c r="D181" s="23">
        <f t="shared" si="245"/>
        <v>0</v>
      </c>
      <c r="E181" s="157">
        <f t="shared" si="246"/>
        <v>0</v>
      </c>
      <c r="F181" s="23">
        <f t="shared" si="247"/>
        <v>0</v>
      </c>
      <c r="G181" s="23"/>
      <c r="H181" s="23"/>
      <c r="I181" s="167"/>
      <c r="J181" s="23"/>
      <c r="K181" s="23"/>
      <c r="L181" s="23"/>
      <c r="M181" s="23"/>
      <c r="N181" s="84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84"/>
      <c r="AN181" s="23"/>
      <c r="AO181" s="23"/>
      <c r="AP181" s="23"/>
      <c r="AQ181" s="23"/>
      <c r="AR181" s="23"/>
      <c r="AS181" s="23"/>
      <c r="AT181" s="84"/>
      <c r="AU181" s="23"/>
      <c r="AV181" s="23"/>
      <c r="AW181" s="23"/>
      <c r="AX181" s="23"/>
      <c r="AY181" s="23"/>
      <c r="AZ181" s="23"/>
      <c r="BA181" s="23"/>
      <c r="BB181" s="23"/>
      <c r="BC181" s="84"/>
      <c r="BD181" s="61">
        <f>SUM('AC-SVC'!C181)*BD$7</f>
        <v>0</v>
      </c>
      <c r="BE181" s="61">
        <f>SUM('AC-SVC'!D181)</f>
        <v>0</v>
      </c>
      <c r="BF181" s="61">
        <f>SUM('AC-SVC'!G181)</f>
        <v>0</v>
      </c>
      <c r="BG181" s="61">
        <f>SUM('AC-SVC'!J181)</f>
        <v>0</v>
      </c>
      <c r="BH181" s="61">
        <f>SUM('AC-SVC'!M181)</f>
        <v>0</v>
      </c>
      <c r="BI181" s="61">
        <f>SUM('AC-SVC'!P181)*BI$7</f>
        <v>0</v>
      </c>
      <c r="BJ181" s="61">
        <f>SUM(PT!C181)</f>
        <v>0</v>
      </c>
      <c r="BK181" s="61">
        <f>SUM(CCLC!C181)</f>
        <v>0</v>
      </c>
      <c r="BL181" s="61">
        <f>SUM(FC!D181)</f>
        <v>0</v>
      </c>
      <c r="BM181" s="61">
        <f>SUM(FN!F181)*BM$7</f>
        <v>0</v>
      </c>
      <c r="BN181" s="61">
        <f>SUM(FS!D181)</f>
        <v>0</v>
      </c>
      <c r="BO181" s="61">
        <f>SUM(IT!D181)</f>
        <v>0</v>
      </c>
      <c r="BP181" s="84"/>
      <c r="BQ181" s="62">
        <f t="shared" si="244"/>
        <v>0</v>
      </c>
      <c r="BS181" s="95">
        <f>SUM(Sheet1!C181)</f>
        <v>11226</v>
      </c>
      <c r="BT181" s="288">
        <f>SUM(Sheet1!I181)</f>
        <v>11803.471698113208</v>
      </c>
    </row>
    <row r="182" spans="1:72" ht="12">
      <c r="A182" s="31" t="s">
        <v>101</v>
      </c>
      <c r="B182" s="31" t="s">
        <v>102</v>
      </c>
      <c r="C182" s="23"/>
      <c r="D182" s="23">
        <f t="shared" si="245"/>
        <v>0</v>
      </c>
      <c r="E182" s="157">
        <f t="shared" si="246"/>
        <v>0</v>
      </c>
      <c r="F182" s="23">
        <f t="shared" si="247"/>
        <v>0</v>
      </c>
      <c r="G182" s="23"/>
      <c r="H182" s="23"/>
      <c r="I182" s="167"/>
      <c r="J182" s="23"/>
      <c r="K182" s="23"/>
      <c r="L182" s="23"/>
      <c r="M182" s="23"/>
      <c r="N182" s="84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84"/>
      <c r="AN182" s="23"/>
      <c r="AO182" s="23"/>
      <c r="AP182" s="23"/>
      <c r="AQ182" s="23"/>
      <c r="AR182" s="23"/>
      <c r="AS182" s="23"/>
      <c r="AT182" s="84"/>
      <c r="AU182" s="23"/>
      <c r="AV182" s="23"/>
      <c r="AW182" s="23"/>
      <c r="AX182" s="23"/>
      <c r="AY182" s="23"/>
      <c r="AZ182" s="23"/>
      <c r="BA182" s="23"/>
      <c r="BB182" s="23"/>
      <c r="BC182" s="84"/>
      <c r="BD182" s="61">
        <f>SUM('AC-SVC'!C182)*BD$7</f>
        <v>0</v>
      </c>
      <c r="BE182" s="61">
        <f>SUM('AC-SVC'!D182)</f>
        <v>0</v>
      </c>
      <c r="BF182" s="61">
        <f>SUM('AC-SVC'!G182)</f>
        <v>0</v>
      </c>
      <c r="BG182" s="61">
        <f>SUM('AC-SVC'!J182)</f>
        <v>0</v>
      </c>
      <c r="BH182" s="61">
        <f>SUM('AC-SVC'!M182)</f>
        <v>0</v>
      </c>
      <c r="BI182" s="61">
        <f>SUM('AC-SVC'!P182)*BI$7</f>
        <v>0</v>
      </c>
      <c r="BJ182" s="61">
        <f>SUM(PT!C182)</f>
        <v>0</v>
      </c>
      <c r="BK182" s="61">
        <f>SUM(CCLC!C182)</f>
        <v>0</v>
      </c>
      <c r="BL182" s="61">
        <f>SUM(FC!D182)</f>
        <v>0</v>
      </c>
      <c r="BM182" s="61">
        <f>SUM(FN!F182)*BM$7</f>
        <v>0</v>
      </c>
      <c r="BN182" s="61">
        <f>SUM(FS!D182)</f>
        <v>0</v>
      </c>
      <c r="BO182" s="61">
        <f>SUM(IT!D182)</f>
        <v>0</v>
      </c>
      <c r="BP182" s="84"/>
      <c r="BQ182" s="62">
        <f t="shared" si="244"/>
        <v>0</v>
      </c>
      <c r="BS182" s="95">
        <f>SUM(Sheet1!C182)</f>
        <v>0</v>
      </c>
      <c r="BT182" s="288">
        <f>SUM(Sheet1!I182)</f>
        <v>0</v>
      </c>
    </row>
    <row r="183" spans="1:72" ht="12">
      <c r="A183" s="31" t="s">
        <v>105</v>
      </c>
      <c r="B183" s="31" t="s">
        <v>167</v>
      </c>
      <c r="C183" s="23"/>
      <c r="D183" s="23">
        <f t="shared" si="245"/>
        <v>0</v>
      </c>
      <c r="E183" s="157">
        <f t="shared" si="246"/>
        <v>0</v>
      </c>
      <c r="F183" s="23">
        <f t="shared" si="247"/>
        <v>0</v>
      </c>
      <c r="G183" s="23"/>
      <c r="H183" s="23"/>
      <c r="I183" s="167"/>
      <c r="J183" s="23"/>
      <c r="K183" s="23"/>
      <c r="L183" s="23"/>
      <c r="M183" s="23"/>
      <c r="N183" s="84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84"/>
      <c r="AN183" s="23"/>
      <c r="AO183" s="23"/>
      <c r="AP183" s="23"/>
      <c r="AQ183" s="23"/>
      <c r="AR183" s="23"/>
      <c r="AS183" s="23"/>
      <c r="AT183" s="84"/>
      <c r="AU183" s="23"/>
      <c r="AV183" s="23"/>
      <c r="AW183" s="23"/>
      <c r="AX183" s="23"/>
      <c r="AY183" s="23"/>
      <c r="AZ183" s="23"/>
      <c r="BA183" s="23"/>
      <c r="BB183" s="23"/>
      <c r="BC183" s="84"/>
      <c r="BD183" s="61">
        <f>SUM('AC-SVC'!C183)*BD$7</f>
        <v>0</v>
      </c>
      <c r="BE183" s="61">
        <f>SUM('AC-SVC'!D183)</f>
        <v>0</v>
      </c>
      <c r="BF183" s="61">
        <f>SUM('AC-SVC'!G183)</f>
        <v>0</v>
      </c>
      <c r="BG183" s="61">
        <f>SUM('AC-SVC'!J183)</f>
        <v>0</v>
      </c>
      <c r="BH183" s="61">
        <f>SUM('AC-SVC'!M183)</f>
        <v>0</v>
      </c>
      <c r="BI183" s="61">
        <f>SUM('AC-SVC'!P183)*BI$7</f>
        <v>0</v>
      </c>
      <c r="BJ183" s="61">
        <f>SUM(PT!C183)</f>
        <v>0</v>
      </c>
      <c r="BK183" s="61">
        <f>SUM(CCLC!C183)</f>
        <v>0</v>
      </c>
      <c r="BL183" s="61">
        <f>SUM(FC!D183)</f>
        <v>0</v>
      </c>
      <c r="BM183" s="61">
        <f>SUM(FN!F183)*BM$7</f>
        <v>0</v>
      </c>
      <c r="BN183" s="61">
        <f>SUM(FS!D183)</f>
        <v>0</v>
      </c>
      <c r="BO183" s="61">
        <f>SUM(IT!D183)</f>
        <v>0</v>
      </c>
      <c r="BP183" s="84"/>
      <c r="BQ183" s="62">
        <f t="shared" si="244"/>
        <v>0</v>
      </c>
      <c r="BS183" s="95">
        <f>SUM(Sheet1!C183)</f>
        <v>15</v>
      </c>
      <c r="BT183" s="288">
        <f>SUM(Sheet1!I183)</f>
        <v>9.0566037735849054</v>
      </c>
    </row>
    <row r="184" spans="1:72" ht="12">
      <c r="A184" s="31" t="s">
        <v>106</v>
      </c>
      <c r="B184" s="31" t="s">
        <v>107</v>
      </c>
      <c r="C184" s="61">
        <v>213</v>
      </c>
      <c r="D184" s="61">
        <f>D68*0.01</f>
        <v>0</v>
      </c>
      <c r="E184" s="61">
        <f>E68*0.01</f>
        <v>0</v>
      </c>
      <c r="F184" s="61">
        <f>F68*0.01</f>
        <v>0</v>
      </c>
      <c r="G184" s="61">
        <f>G68*0.01</f>
        <v>0</v>
      </c>
      <c r="H184" s="61">
        <f>H68*0.01</f>
        <v>0</v>
      </c>
      <c r="I184" s="167"/>
      <c r="J184" s="23"/>
      <c r="K184" s="23"/>
      <c r="L184" s="23"/>
      <c r="M184" s="23"/>
      <c r="N184" s="84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84"/>
      <c r="AN184" s="23"/>
      <c r="AO184" s="23"/>
      <c r="AP184" s="23"/>
      <c r="AQ184" s="23"/>
      <c r="AR184" s="23"/>
      <c r="AS184" s="23"/>
      <c r="AT184" s="84"/>
      <c r="AU184" s="23"/>
      <c r="AV184" s="23"/>
      <c r="AW184" s="23"/>
      <c r="AX184" s="23"/>
      <c r="AY184" s="23"/>
      <c r="AZ184" s="23"/>
      <c r="BA184" s="23"/>
      <c r="BB184" s="23"/>
      <c r="BC184" s="84"/>
      <c r="BD184" s="61">
        <f>SUM('AC-SVC'!C184)*BD$7</f>
        <v>0</v>
      </c>
      <c r="BE184" s="61">
        <f>SUM('AC-SVC'!D184)</f>
        <v>0</v>
      </c>
      <c r="BF184" s="61">
        <f>SUM('AC-SVC'!G184)</f>
        <v>0</v>
      </c>
      <c r="BG184" s="61">
        <f>SUM('AC-SVC'!J184)</f>
        <v>0</v>
      </c>
      <c r="BH184" s="61">
        <f>SUM('AC-SVC'!M184)</f>
        <v>0</v>
      </c>
      <c r="BI184" s="61">
        <f>SUM('AC-SVC'!P184)*BI$7</f>
        <v>0</v>
      </c>
      <c r="BJ184" s="61">
        <f>SUM(PT!C184)</f>
        <v>0</v>
      </c>
      <c r="BK184" s="61">
        <f>SUM(CCLC!C184)</f>
        <v>0</v>
      </c>
      <c r="BL184" s="61">
        <f>SUM(FC!D184)</f>
        <v>500</v>
      </c>
      <c r="BM184" s="61">
        <f>SUM(FN!F184)*BM$7</f>
        <v>0</v>
      </c>
      <c r="BN184" s="61">
        <f>SUM(FS!D184)</f>
        <v>0</v>
      </c>
      <c r="BO184" s="61">
        <f>SUM(IT!D184)</f>
        <v>0</v>
      </c>
      <c r="BP184" s="84"/>
      <c r="BQ184" s="62">
        <f t="shared" si="244"/>
        <v>713</v>
      </c>
      <c r="BS184" s="95">
        <f>SUM(Sheet1!C184)</f>
        <v>3051.77</v>
      </c>
      <c r="BT184" s="288">
        <f>SUM(Sheet1!I184)</f>
        <v>3296.8030188679245</v>
      </c>
    </row>
    <row r="185" spans="1:72" ht="12">
      <c r="A185" s="31" t="s">
        <v>428</v>
      </c>
      <c r="B185" s="31" t="s">
        <v>429</v>
      </c>
      <c r="C185" s="48"/>
      <c r="D185" s="48">
        <f t="shared" si="245"/>
        <v>0</v>
      </c>
      <c r="E185" s="48">
        <f>SUM(O185:AS185)</f>
        <v>0</v>
      </c>
      <c r="F185" s="48">
        <f t="shared" si="247"/>
        <v>0</v>
      </c>
      <c r="G185" s="48"/>
      <c r="H185" s="48"/>
      <c r="I185" s="80"/>
      <c r="J185" s="48"/>
      <c r="K185" s="48"/>
      <c r="L185" s="48"/>
      <c r="M185" s="48"/>
      <c r="N185" s="73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73"/>
      <c r="AN185" s="48"/>
      <c r="AO185" s="48"/>
      <c r="AP185" s="48"/>
      <c r="AQ185" s="48"/>
      <c r="AR185" s="48"/>
      <c r="AS185" s="48"/>
      <c r="AT185" s="73"/>
      <c r="AU185" s="48"/>
      <c r="AV185" s="48"/>
      <c r="AW185" s="48"/>
      <c r="AX185" s="48"/>
      <c r="AY185" s="48"/>
      <c r="AZ185" s="48"/>
      <c r="BA185" s="48"/>
      <c r="BB185" s="48"/>
      <c r="BD185" s="20">
        <f>SUM('AC-SVC'!C185)*BD$7</f>
        <v>0</v>
      </c>
      <c r="BE185" s="20">
        <f>SUM('AC-SVC'!D185)</f>
        <v>0</v>
      </c>
      <c r="BF185" s="20">
        <f>SUM('AC-SVC'!G185)</f>
        <v>0</v>
      </c>
      <c r="BG185" s="20">
        <f>SUM('AC-SVC'!J185)</f>
        <v>0</v>
      </c>
      <c r="BH185" s="20">
        <f>SUM('AC-SVC'!M185)</f>
        <v>0</v>
      </c>
      <c r="BI185" s="20">
        <f>SUM('AC-SVC'!P185)*BI$7</f>
        <v>0</v>
      </c>
      <c r="BJ185" s="20">
        <f>SUM(PT!C185)</f>
        <v>0</v>
      </c>
      <c r="BK185" s="20">
        <f>SUM(CCLC!C185)</f>
        <v>0</v>
      </c>
      <c r="BL185" s="20">
        <f>SUM(FC!D185)</f>
        <v>1000</v>
      </c>
      <c r="BM185" s="20">
        <f>SUM(FN!F185)*BM$7</f>
        <v>0</v>
      </c>
      <c r="BN185" s="20">
        <f>SUM(FS!D185)</f>
        <v>0</v>
      </c>
      <c r="BO185" s="20">
        <f>SUM(IT!D185)</f>
        <v>0</v>
      </c>
      <c r="BP185" s="84"/>
      <c r="BQ185" s="63">
        <f t="shared" si="244"/>
        <v>1000</v>
      </c>
      <c r="BS185" s="96">
        <f>SUM(Sheet1!C185)</f>
        <v>300</v>
      </c>
      <c r="BT185" s="288">
        <f>SUM(Sheet1!I185)</f>
        <v>283.34490566037732</v>
      </c>
    </row>
    <row r="186" spans="1:72" s="30" customFormat="1" ht="10">
      <c r="A186" s="31"/>
      <c r="B186" s="31" t="s">
        <v>168</v>
      </c>
      <c r="C186" s="50">
        <f t="shared" ref="C186:BB186" si="248">SUM(C175:C185)</f>
        <v>882309</v>
      </c>
      <c r="D186" s="50">
        <f t="shared" si="248"/>
        <v>0</v>
      </c>
      <c r="E186" s="50">
        <f t="shared" si="248"/>
        <v>0</v>
      </c>
      <c r="F186" s="50">
        <f t="shared" si="248"/>
        <v>0</v>
      </c>
      <c r="G186" s="50">
        <f t="shared" si="248"/>
        <v>0</v>
      </c>
      <c r="H186" s="50">
        <f t="shared" si="248"/>
        <v>0</v>
      </c>
      <c r="I186" s="83"/>
      <c r="J186" s="50">
        <f t="shared" si="248"/>
        <v>0</v>
      </c>
      <c r="K186" s="50">
        <f t="shared" si="248"/>
        <v>0</v>
      </c>
      <c r="L186" s="50">
        <f t="shared" si="248"/>
        <v>0</v>
      </c>
      <c r="M186" s="50">
        <f t="shared" si="248"/>
        <v>0</v>
      </c>
      <c r="N186" s="74"/>
      <c r="O186" s="50">
        <f t="shared" si="248"/>
        <v>0</v>
      </c>
      <c r="P186" s="50">
        <f t="shared" si="248"/>
        <v>0</v>
      </c>
      <c r="Q186" s="50">
        <f t="shared" si="248"/>
        <v>0</v>
      </c>
      <c r="R186" s="50">
        <f t="shared" si="248"/>
        <v>0</v>
      </c>
      <c r="S186" s="50">
        <f t="shared" si="248"/>
        <v>0</v>
      </c>
      <c r="T186" s="50">
        <f t="shared" si="248"/>
        <v>0</v>
      </c>
      <c r="U186" s="50">
        <f t="shared" si="248"/>
        <v>0</v>
      </c>
      <c r="V186" s="50">
        <f t="shared" si="248"/>
        <v>0</v>
      </c>
      <c r="W186" s="50">
        <f t="shared" si="248"/>
        <v>0</v>
      </c>
      <c r="X186" s="50">
        <f t="shared" si="248"/>
        <v>0</v>
      </c>
      <c r="Y186" s="50">
        <f t="shared" si="248"/>
        <v>0</v>
      </c>
      <c r="Z186" s="50">
        <f t="shared" si="248"/>
        <v>0</v>
      </c>
      <c r="AA186" s="50">
        <f t="shared" si="248"/>
        <v>0</v>
      </c>
      <c r="AB186" s="50">
        <f t="shared" si="248"/>
        <v>0</v>
      </c>
      <c r="AC186" s="50">
        <f t="shared" si="248"/>
        <v>0</v>
      </c>
      <c r="AD186" s="50">
        <f t="shared" si="248"/>
        <v>0</v>
      </c>
      <c r="AE186" s="50">
        <f t="shared" si="248"/>
        <v>0</v>
      </c>
      <c r="AF186" s="50">
        <f t="shared" si="248"/>
        <v>0</v>
      </c>
      <c r="AG186" s="50">
        <f t="shared" si="248"/>
        <v>0</v>
      </c>
      <c r="AH186" s="50">
        <f t="shared" si="248"/>
        <v>0</v>
      </c>
      <c r="AI186" s="50">
        <f t="shared" si="248"/>
        <v>0</v>
      </c>
      <c r="AJ186" s="50">
        <f t="shared" si="248"/>
        <v>0</v>
      </c>
      <c r="AK186" s="50">
        <f t="shared" si="248"/>
        <v>0</v>
      </c>
      <c r="AL186" s="50">
        <f t="shared" si="248"/>
        <v>0</v>
      </c>
      <c r="AM186" s="74"/>
      <c r="AN186" s="50">
        <f t="shared" si="248"/>
        <v>0</v>
      </c>
      <c r="AO186" s="50">
        <f t="shared" si="248"/>
        <v>0</v>
      </c>
      <c r="AP186" s="50">
        <f t="shared" si="248"/>
        <v>0</v>
      </c>
      <c r="AQ186" s="50">
        <f t="shared" si="248"/>
        <v>0</v>
      </c>
      <c r="AR186" s="50">
        <f t="shared" si="248"/>
        <v>0</v>
      </c>
      <c r="AS186" s="50">
        <f t="shared" si="248"/>
        <v>0</v>
      </c>
      <c r="AT186" s="74"/>
      <c r="AU186" s="50">
        <f t="shared" si="248"/>
        <v>0</v>
      </c>
      <c r="AV186" s="50">
        <f t="shared" si="248"/>
        <v>0</v>
      </c>
      <c r="AW186" s="50">
        <f t="shared" si="248"/>
        <v>0</v>
      </c>
      <c r="AX186" s="50">
        <f t="shared" si="248"/>
        <v>0</v>
      </c>
      <c r="AY186" s="50">
        <f t="shared" si="248"/>
        <v>0</v>
      </c>
      <c r="AZ186" s="50">
        <f t="shared" si="248"/>
        <v>0</v>
      </c>
      <c r="BA186" s="50">
        <f t="shared" si="248"/>
        <v>0</v>
      </c>
      <c r="BB186" s="50">
        <f t="shared" si="248"/>
        <v>0</v>
      </c>
      <c r="BC186" s="70"/>
      <c r="BD186" s="40">
        <f t="shared" ref="BD186:BJ186" si="249">SUM(BD175:BD185)</f>
        <v>0</v>
      </c>
      <c r="BE186" s="40">
        <f t="shared" si="249"/>
        <v>0</v>
      </c>
      <c r="BF186" s="40">
        <f t="shared" si="249"/>
        <v>0</v>
      </c>
      <c r="BG186" s="40">
        <f t="shared" si="249"/>
        <v>0</v>
      </c>
      <c r="BH186" s="40">
        <f t="shared" si="249"/>
        <v>120</v>
      </c>
      <c r="BI186" s="40">
        <f t="shared" si="249"/>
        <v>0</v>
      </c>
      <c r="BJ186" s="40">
        <f t="shared" si="249"/>
        <v>11205</v>
      </c>
      <c r="BK186" s="40">
        <f t="shared" ref="BK186" si="250">SUM(BK175:BK185)</f>
        <v>0</v>
      </c>
      <c r="BL186" s="40">
        <f t="shared" ref="BL186" si="251">SUM(BL175:BL185)</f>
        <v>211500</v>
      </c>
      <c r="BM186" s="40">
        <f t="shared" ref="BM186" si="252">SUM(BM175:BM185)</f>
        <v>0</v>
      </c>
      <c r="BN186" s="40">
        <f t="shared" ref="BN186" si="253">SUM(BN175:BN185)</f>
        <v>0</v>
      </c>
      <c r="BO186" s="40">
        <f t="shared" ref="BO186" si="254">SUM(BO175:BO185)</f>
        <v>35000</v>
      </c>
      <c r="BP186" s="70"/>
      <c r="BQ186" s="50">
        <f>SUM(BQ175:BQ185)</f>
        <v>1140134</v>
      </c>
      <c r="BS186" s="94">
        <f>SUM(BS175:BS185)</f>
        <v>881242.14</v>
      </c>
      <c r="BT186" s="293">
        <f>SUM(BT175:BT185)</f>
        <v>940195.67773584917</v>
      </c>
    </row>
    <row r="187" spans="1:72">
      <c r="C187" s="47"/>
      <c r="D187" s="47"/>
      <c r="E187" s="47"/>
      <c r="F187" s="47"/>
      <c r="G187" s="47"/>
      <c r="H187" s="47"/>
      <c r="I187" s="80"/>
      <c r="J187" s="47"/>
      <c r="K187" s="47"/>
      <c r="L187" s="47"/>
      <c r="M187" s="47"/>
      <c r="N187" s="71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71"/>
      <c r="AN187" s="47"/>
      <c r="AO187" s="47"/>
      <c r="AP187" s="47"/>
      <c r="AQ187" s="47"/>
      <c r="AR187" s="47"/>
      <c r="AS187" s="47"/>
      <c r="AT187" s="71"/>
      <c r="AU187" s="47"/>
      <c r="AV187" s="47"/>
      <c r="AW187" s="47"/>
      <c r="AX187" s="47"/>
      <c r="AY187" s="47"/>
      <c r="AZ187" s="47"/>
      <c r="BA187" s="47"/>
      <c r="BB187" s="47"/>
      <c r="BD187" s="38"/>
      <c r="BE187" s="47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Q187" s="50"/>
      <c r="BS187" s="94"/>
    </row>
    <row r="188" spans="1:72" s="30" customFormat="1" ht="12">
      <c r="A188" s="35"/>
      <c r="B188" s="35" t="s">
        <v>169</v>
      </c>
      <c r="C188" s="50">
        <f t="shared" ref="C188:BB188" si="255">+C122+C133+C141+C150+C155+C171+C186</f>
        <v>1039189</v>
      </c>
      <c r="D188" s="50">
        <f t="shared" si="255"/>
        <v>8400</v>
      </c>
      <c r="E188" s="50">
        <f t="shared" si="255"/>
        <v>59000</v>
      </c>
      <c r="F188" s="50">
        <f t="shared" si="255"/>
        <v>16800</v>
      </c>
      <c r="G188" s="50">
        <f t="shared" si="255"/>
        <v>8070</v>
      </c>
      <c r="H188" s="50">
        <f t="shared" si="255"/>
        <v>4410</v>
      </c>
      <c r="I188" s="83"/>
      <c r="J188" s="50">
        <f t="shared" si="255"/>
        <v>2100</v>
      </c>
      <c r="K188" s="50">
        <f t="shared" si="255"/>
        <v>2100</v>
      </c>
      <c r="L188" s="50">
        <f t="shared" si="255"/>
        <v>2100</v>
      </c>
      <c r="M188" s="50">
        <f t="shared" si="255"/>
        <v>2100</v>
      </c>
      <c r="N188" s="74"/>
      <c r="O188" s="50">
        <f t="shared" si="255"/>
        <v>2100</v>
      </c>
      <c r="P188" s="50">
        <f t="shared" si="255"/>
        <v>2100</v>
      </c>
      <c r="Q188" s="50">
        <f t="shared" si="255"/>
        <v>2100</v>
      </c>
      <c r="R188" s="50">
        <f t="shared" si="255"/>
        <v>2100</v>
      </c>
      <c r="S188" s="50">
        <f t="shared" si="255"/>
        <v>2100</v>
      </c>
      <c r="T188" s="50">
        <f t="shared" si="255"/>
        <v>2100</v>
      </c>
      <c r="U188" s="50">
        <f t="shared" si="255"/>
        <v>2100</v>
      </c>
      <c r="V188" s="50">
        <f t="shared" si="255"/>
        <v>2100</v>
      </c>
      <c r="W188" s="50">
        <f t="shared" si="255"/>
        <v>1100</v>
      </c>
      <c r="X188" s="50">
        <f t="shared" si="255"/>
        <v>2100</v>
      </c>
      <c r="Y188" s="50">
        <f t="shared" si="255"/>
        <v>2100</v>
      </c>
      <c r="Z188" s="50">
        <f t="shared" si="255"/>
        <v>2100</v>
      </c>
      <c r="AA188" s="50">
        <f t="shared" si="255"/>
        <v>2100</v>
      </c>
      <c r="AB188" s="50">
        <f t="shared" si="255"/>
        <v>1100</v>
      </c>
      <c r="AC188" s="50">
        <f t="shared" si="255"/>
        <v>2100</v>
      </c>
      <c r="AD188" s="50">
        <f t="shared" si="255"/>
        <v>2100</v>
      </c>
      <c r="AE188" s="50">
        <f t="shared" si="255"/>
        <v>2100</v>
      </c>
      <c r="AF188" s="50">
        <f t="shared" si="255"/>
        <v>2100</v>
      </c>
      <c r="AG188" s="50">
        <f t="shared" si="255"/>
        <v>1100</v>
      </c>
      <c r="AH188" s="50">
        <f t="shared" si="255"/>
        <v>2100</v>
      </c>
      <c r="AI188" s="50">
        <f t="shared" si="255"/>
        <v>2100</v>
      </c>
      <c r="AJ188" s="50">
        <f t="shared" si="255"/>
        <v>2100</v>
      </c>
      <c r="AK188" s="50">
        <f t="shared" si="255"/>
        <v>2100</v>
      </c>
      <c r="AL188" s="50">
        <f t="shared" si="255"/>
        <v>1100</v>
      </c>
      <c r="AM188" s="74"/>
      <c r="AN188" s="50">
        <f t="shared" si="255"/>
        <v>2100</v>
      </c>
      <c r="AO188" s="50">
        <f t="shared" si="255"/>
        <v>2100</v>
      </c>
      <c r="AP188" s="50">
        <f t="shared" si="255"/>
        <v>2100</v>
      </c>
      <c r="AQ188" s="50">
        <f t="shared" si="255"/>
        <v>2100</v>
      </c>
      <c r="AR188" s="50">
        <f t="shared" si="255"/>
        <v>2100</v>
      </c>
      <c r="AS188" s="50">
        <f t="shared" si="255"/>
        <v>2100</v>
      </c>
      <c r="AT188" s="74"/>
      <c r="AU188" s="50">
        <f t="shared" si="255"/>
        <v>2100</v>
      </c>
      <c r="AV188" s="50">
        <f t="shared" si="255"/>
        <v>2100</v>
      </c>
      <c r="AW188" s="50">
        <f t="shared" si="255"/>
        <v>2100</v>
      </c>
      <c r="AX188" s="50">
        <f t="shared" si="255"/>
        <v>2100</v>
      </c>
      <c r="AY188" s="50">
        <f t="shared" si="255"/>
        <v>2100</v>
      </c>
      <c r="AZ188" s="50">
        <f t="shared" si="255"/>
        <v>2100</v>
      </c>
      <c r="BA188" s="50">
        <f t="shared" si="255"/>
        <v>2100</v>
      </c>
      <c r="BB188" s="50">
        <f t="shared" si="255"/>
        <v>2100</v>
      </c>
      <c r="BC188" s="74"/>
      <c r="BD188" s="40">
        <f t="shared" ref="BD188:BI188" si="256">+BD122+BD133+BD141+BD150+BD155+BD171+BD186</f>
        <v>0</v>
      </c>
      <c r="BE188" s="50">
        <f t="shared" si="256"/>
        <v>3120</v>
      </c>
      <c r="BF188" s="40">
        <f t="shared" si="256"/>
        <v>40795</v>
      </c>
      <c r="BG188" s="40">
        <f t="shared" si="256"/>
        <v>2820</v>
      </c>
      <c r="BH188" s="40">
        <f t="shared" si="256"/>
        <v>11421</v>
      </c>
      <c r="BI188" s="40">
        <f t="shared" si="256"/>
        <v>0</v>
      </c>
      <c r="BJ188" s="40">
        <f>+BJ122+BJ133+BJ141+BJ150+BJ155+BJ171+BJ186</f>
        <v>33805</v>
      </c>
      <c r="BK188" s="40">
        <f>+BK122+BK133+BK141+BK150+BK155+BK171+BK186</f>
        <v>0</v>
      </c>
      <c r="BL188" s="40">
        <f>+BL122+BL133+BL141+BL150+BL155+BL171+BL186</f>
        <v>988978.65</v>
      </c>
      <c r="BM188" s="40">
        <f t="shared" ref="BM188" si="257">+BM122+BM133+BM141+BM150+BM155+BM171+BM186</f>
        <v>0</v>
      </c>
      <c r="BN188" s="40">
        <f>+BN122+BN133+BN141+BN150+BN155+BN171+BN186</f>
        <v>184484.12244897959</v>
      </c>
      <c r="BO188" s="40">
        <f>+BO122+BO133+BO141+BO150+BO155+BO171+BO186</f>
        <v>251290</v>
      </c>
      <c r="BP188" s="70"/>
      <c r="BQ188" s="50">
        <f t="shared" ref="BQ188" si="258">+BQ122+BQ133+BQ141+BQ150+BQ155+BQ171+BQ186</f>
        <v>2652582.7724489798</v>
      </c>
      <c r="BS188" s="94">
        <f>SUM(BS122+BS133+BS141+BS150+BS155+BS171+BS186)</f>
        <v>2171685.9900000002</v>
      </c>
      <c r="BT188" s="280">
        <f>SUM(BT122+BT133+BT141+BT150+BT155+BT171+BT186)</f>
        <v>2254999.7850327301</v>
      </c>
    </row>
    <row r="189" spans="1:72" ht="12">
      <c r="C189" s="47"/>
      <c r="D189" s="47"/>
      <c r="E189" s="47"/>
      <c r="F189" s="47"/>
      <c r="G189" s="47"/>
      <c r="H189" s="47"/>
      <c r="I189" s="80"/>
      <c r="J189" s="47"/>
      <c r="K189" s="47"/>
      <c r="L189" s="47"/>
      <c r="M189" s="47"/>
      <c r="N189" s="71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71"/>
      <c r="AN189" s="47"/>
      <c r="AO189" s="47"/>
      <c r="AP189" s="47"/>
      <c r="AQ189" s="47"/>
      <c r="AR189" s="47"/>
      <c r="AS189" s="47"/>
      <c r="AT189" s="71"/>
      <c r="AU189" s="47"/>
      <c r="AV189" s="47"/>
      <c r="AW189" s="47"/>
      <c r="AX189" s="47"/>
      <c r="AY189" s="47"/>
      <c r="AZ189" s="47"/>
      <c r="BA189" s="47"/>
      <c r="BB189" s="47"/>
      <c r="BC189" s="71"/>
      <c r="BD189" s="38"/>
      <c r="BE189" s="47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Q189" s="50"/>
      <c r="BS189" s="94"/>
      <c r="BT189" s="281"/>
    </row>
    <row r="190" spans="1:72" s="30" customFormat="1" ht="12">
      <c r="A190" s="31"/>
      <c r="B190" s="35" t="s">
        <v>435</v>
      </c>
      <c r="C190" s="50">
        <f t="shared" ref="C190:BB190" si="259">SUM(C104+C188)</f>
        <v>1044189</v>
      </c>
      <c r="D190" s="50">
        <f t="shared" si="259"/>
        <v>379139.11566076224</v>
      </c>
      <c r="E190" s="50">
        <f t="shared" si="259"/>
        <v>2483281.4368533026</v>
      </c>
      <c r="F190" s="50">
        <f t="shared" si="259"/>
        <v>697627.53660160571</v>
      </c>
      <c r="G190" s="50">
        <f t="shared" si="259"/>
        <v>215006.68026484581</v>
      </c>
      <c r="H190" s="50">
        <f t="shared" si="259"/>
        <v>145763.9768</v>
      </c>
      <c r="I190" s="83"/>
      <c r="J190" s="50">
        <f t="shared" si="259"/>
        <v>110868.57669646984</v>
      </c>
      <c r="K190" s="50">
        <f t="shared" si="259"/>
        <v>92387.340566718573</v>
      </c>
      <c r="L190" s="50">
        <f t="shared" si="259"/>
        <v>91135.402063068002</v>
      </c>
      <c r="M190" s="50">
        <f t="shared" si="259"/>
        <v>84747.796334505794</v>
      </c>
      <c r="N190" s="74"/>
      <c r="O190" s="50">
        <f t="shared" si="259"/>
        <v>90360.997540904762</v>
      </c>
      <c r="P190" s="50">
        <f t="shared" si="259"/>
        <v>96875.92663641843</v>
      </c>
      <c r="Q190" s="50">
        <f t="shared" si="259"/>
        <v>94111.363694372325</v>
      </c>
      <c r="R190" s="50">
        <f t="shared" si="259"/>
        <v>82462.029663067995</v>
      </c>
      <c r="S190" s="50">
        <f t="shared" si="259"/>
        <v>84747.796334505794</v>
      </c>
      <c r="T190" s="50">
        <f t="shared" si="259"/>
        <v>94439.14907047106</v>
      </c>
      <c r="U190" s="50">
        <f t="shared" si="259"/>
        <v>95490.361556097632</v>
      </c>
      <c r="V190" s="50">
        <f t="shared" si="259"/>
        <v>81872.628584199992</v>
      </c>
      <c r="W190" s="50">
        <f t="shared" si="259"/>
        <v>61175.893467233196</v>
      </c>
      <c r="X190" s="50">
        <f t="shared" si="259"/>
        <v>85212.995638823733</v>
      </c>
      <c r="Y190" s="50">
        <f t="shared" si="259"/>
        <v>91548.111582833197</v>
      </c>
      <c r="Z190" s="50">
        <f t="shared" si="259"/>
        <v>86470.228584199998</v>
      </c>
      <c r="AA190" s="50">
        <f t="shared" si="259"/>
        <v>91059.40874690433</v>
      </c>
      <c r="AB190" s="50">
        <f t="shared" si="259"/>
        <v>57238.990631304325</v>
      </c>
      <c r="AC190" s="50">
        <f t="shared" si="259"/>
        <v>74502.524012212336</v>
      </c>
      <c r="AD190" s="50">
        <f t="shared" si="259"/>
        <v>77031.370556075533</v>
      </c>
      <c r="AE190" s="50">
        <f t="shared" si="259"/>
        <v>68989.438057799998</v>
      </c>
      <c r="AF190" s="50">
        <f t="shared" si="259"/>
        <v>73245.433124886928</v>
      </c>
      <c r="AG190" s="50">
        <f t="shared" si="259"/>
        <v>61555.1583387641</v>
      </c>
      <c r="AH190" s="50">
        <f t="shared" si="259"/>
        <v>76862.909405448023</v>
      </c>
      <c r="AI190" s="50">
        <f t="shared" si="259"/>
        <v>71678.183998620923</v>
      </c>
      <c r="AJ190" s="50">
        <f t="shared" si="259"/>
        <v>58749.024067086932</v>
      </c>
      <c r="AK190" s="50">
        <f t="shared" si="259"/>
        <v>56648.153999999995</v>
      </c>
      <c r="AL190" s="50">
        <f t="shared" si="259"/>
        <v>54771.823271437795</v>
      </c>
      <c r="AM190" s="74"/>
      <c r="AN190" s="50">
        <f t="shared" si="259"/>
        <v>133957.91499052473</v>
      </c>
      <c r="AO190" s="50">
        <f t="shared" si="259"/>
        <v>159233.36859999999</v>
      </c>
      <c r="AP190" s="50">
        <f t="shared" si="259"/>
        <v>98773.367058905496</v>
      </c>
      <c r="AQ190" s="50">
        <f t="shared" si="259"/>
        <v>56990.177523223734</v>
      </c>
      <c r="AR190" s="50">
        <f t="shared" si="259"/>
        <v>120636.71965646485</v>
      </c>
      <c r="AS190" s="50">
        <f t="shared" si="259"/>
        <v>46589.988460514985</v>
      </c>
      <c r="AT190" s="74"/>
      <c r="AU190" s="50">
        <f t="shared" si="259"/>
        <v>107489.98799182374</v>
      </c>
      <c r="AV190" s="50">
        <f t="shared" si="259"/>
        <v>83806.270400000009</v>
      </c>
      <c r="AW190" s="50">
        <f t="shared" si="259"/>
        <v>58238.990631304325</v>
      </c>
      <c r="AX190" s="50">
        <f t="shared" si="259"/>
        <v>83910.266284835598</v>
      </c>
      <c r="AY190" s="50">
        <f t="shared" si="259"/>
        <v>63273.1976</v>
      </c>
      <c r="AZ190" s="50">
        <f t="shared" si="259"/>
        <v>110830.35504644747</v>
      </c>
      <c r="BA190" s="50">
        <f t="shared" si="259"/>
        <v>83806.834907156692</v>
      </c>
      <c r="BB190" s="50">
        <f t="shared" si="259"/>
        <v>106271.6337400378</v>
      </c>
      <c r="BC190" s="74"/>
      <c r="BD190" s="50">
        <f>SUM(BD104+BD188)</f>
        <v>0</v>
      </c>
      <c r="BE190" s="50">
        <f t="shared" ref="BE190:BO190" si="260">SUM(BE104+BE188)</f>
        <v>71005.095799999996</v>
      </c>
      <c r="BF190" s="50">
        <f t="shared" si="260"/>
        <v>66926.192856731795</v>
      </c>
      <c r="BG190" s="50">
        <f t="shared" si="260"/>
        <v>65825.01318400001</v>
      </c>
      <c r="BH190" s="50">
        <f t="shared" si="260"/>
        <v>57276.35859256921</v>
      </c>
      <c r="BI190" s="50">
        <f t="shared" si="260"/>
        <v>0</v>
      </c>
      <c r="BJ190" s="50">
        <f t="shared" si="260"/>
        <v>66209.217363999996</v>
      </c>
      <c r="BK190" s="50">
        <f t="shared" si="260"/>
        <v>0</v>
      </c>
      <c r="BL190" s="50">
        <f t="shared" si="260"/>
        <v>1190752.3674000001</v>
      </c>
      <c r="BM190" s="50">
        <f t="shared" si="260"/>
        <v>0</v>
      </c>
      <c r="BN190" s="50">
        <f t="shared" si="260"/>
        <v>314906.23528868891</v>
      </c>
      <c r="BO190" s="50">
        <f t="shared" si="260"/>
        <v>251290</v>
      </c>
      <c r="BP190" s="70"/>
      <c r="BQ190" s="50">
        <f>SUM(BQ104+BQ188)</f>
        <v>7049198.2266665082</v>
      </c>
      <c r="BS190" s="94">
        <f>SUM(BS104+BS188)</f>
        <v>6236159.5599999996</v>
      </c>
      <c r="BT190" s="280">
        <f>SUM(BT188+BT104)</f>
        <v>6691984.7798490897</v>
      </c>
    </row>
    <row r="191" spans="1:72" ht="12">
      <c r="C191" s="47"/>
      <c r="D191" s="47"/>
      <c r="E191" s="47"/>
      <c r="F191" s="47"/>
      <c r="G191" s="47"/>
      <c r="H191" s="47"/>
      <c r="I191" s="80"/>
      <c r="J191" s="47"/>
      <c r="K191" s="47"/>
      <c r="L191" s="47"/>
      <c r="M191" s="47"/>
      <c r="N191" s="71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71"/>
      <c r="AN191" s="47"/>
      <c r="AO191" s="47"/>
      <c r="AP191" s="47"/>
      <c r="AQ191" s="47"/>
      <c r="AR191" s="47"/>
      <c r="AS191" s="47"/>
      <c r="AT191" s="71"/>
      <c r="AU191" s="47"/>
      <c r="AV191" s="47"/>
      <c r="AW191" s="47"/>
      <c r="AX191" s="47"/>
      <c r="AY191" s="47"/>
      <c r="AZ191" s="47"/>
      <c r="BA191" s="47"/>
      <c r="BB191" s="47"/>
      <c r="BC191" s="71"/>
      <c r="BD191" s="38"/>
      <c r="BE191" s="47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Q191" s="50"/>
      <c r="BS191" s="94"/>
      <c r="BT191" s="281"/>
    </row>
    <row r="192" spans="1:72" s="30" customFormat="1" ht="12">
      <c r="A192" s="35"/>
      <c r="B192" s="35" t="s">
        <v>170</v>
      </c>
      <c r="C192" s="50">
        <f t="shared" ref="C192:BB192" si="261">SUM(C68-C190)</f>
        <v>4836451</v>
      </c>
      <c r="D192" s="50">
        <f t="shared" si="261"/>
        <v>-379139.11566076224</v>
      </c>
      <c r="E192" s="50">
        <f t="shared" si="261"/>
        <v>-2483281.4368533026</v>
      </c>
      <c r="F192" s="50">
        <f t="shared" si="261"/>
        <v>-697627.53660160571</v>
      </c>
      <c r="G192" s="50">
        <f t="shared" si="261"/>
        <v>-215006.68026484581</v>
      </c>
      <c r="H192" s="50">
        <f t="shared" si="261"/>
        <v>-145763.9768</v>
      </c>
      <c r="I192" s="83"/>
      <c r="J192" s="50">
        <f t="shared" si="261"/>
        <v>-110868.57669646984</v>
      </c>
      <c r="K192" s="50">
        <f t="shared" si="261"/>
        <v>-92387.340566718573</v>
      </c>
      <c r="L192" s="50">
        <f t="shared" si="261"/>
        <v>-91135.402063068002</v>
      </c>
      <c r="M192" s="50">
        <f t="shared" si="261"/>
        <v>-84747.796334505794</v>
      </c>
      <c r="N192" s="74"/>
      <c r="O192" s="50">
        <f t="shared" si="261"/>
        <v>-90360.997540904762</v>
      </c>
      <c r="P192" s="50">
        <f t="shared" si="261"/>
        <v>-96875.92663641843</v>
      </c>
      <c r="Q192" s="50">
        <f t="shared" si="261"/>
        <v>-94111.363694372325</v>
      </c>
      <c r="R192" s="50">
        <f t="shared" si="261"/>
        <v>-82462.029663067995</v>
      </c>
      <c r="S192" s="50">
        <f t="shared" si="261"/>
        <v>-84747.796334505794</v>
      </c>
      <c r="T192" s="50">
        <f t="shared" si="261"/>
        <v>-94439.14907047106</v>
      </c>
      <c r="U192" s="50">
        <f t="shared" si="261"/>
        <v>-95490.361556097632</v>
      </c>
      <c r="V192" s="50">
        <f t="shared" si="261"/>
        <v>-81872.628584199992</v>
      </c>
      <c r="W192" s="50">
        <f t="shared" si="261"/>
        <v>-61175.893467233196</v>
      </c>
      <c r="X192" s="50">
        <f t="shared" si="261"/>
        <v>-85212.995638823733</v>
      </c>
      <c r="Y192" s="50">
        <f t="shared" si="261"/>
        <v>-91548.111582833197</v>
      </c>
      <c r="Z192" s="50">
        <f t="shared" si="261"/>
        <v>-86470.228584199998</v>
      </c>
      <c r="AA192" s="50">
        <f t="shared" si="261"/>
        <v>-91059.40874690433</v>
      </c>
      <c r="AB192" s="50">
        <f t="shared" si="261"/>
        <v>-57238.990631304325</v>
      </c>
      <c r="AC192" s="50">
        <f t="shared" si="261"/>
        <v>-74502.524012212336</v>
      </c>
      <c r="AD192" s="50">
        <f t="shared" si="261"/>
        <v>-77031.370556075533</v>
      </c>
      <c r="AE192" s="50">
        <f t="shared" si="261"/>
        <v>-68989.438057799998</v>
      </c>
      <c r="AF192" s="50">
        <f t="shared" si="261"/>
        <v>-73245.433124886928</v>
      </c>
      <c r="AG192" s="50">
        <f t="shared" si="261"/>
        <v>-61555.1583387641</v>
      </c>
      <c r="AH192" s="50">
        <f t="shared" si="261"/>
        <v>-76862.909405448023</v>
      </c>
      <c r="AI192" s="50">
        <f t="shared" si="261"/>
        <v>-71678.183998620923</v>
      </c>
      <c r="AJ192" s="50">
        <f t="shared" si="261"/>
        <v>-58749.024067086932</v>
      </c>
      <c r="AK192" s="50">
        <f t="shared" si="261"/>
        <v>-56648.153999999995</v>
      </c>
      <c r="AL192" s="50">
        <f t="shared" si="261"/>
        <v>-54771.823271437795</v>
      </c>
      <c r="AM192" s="74"/>
      <c r="AN192" s="50">
        <f t="shared" si="261"/>
        <v>-133957.91499052473</v>
      </c>
      <c r="AO192" s="50">
        <f t="shared" si="261"/>
        <v>-159233.36859999999</v>
      </c>
      <c r="AP192" s="50">
        <f t="shared" si="261"/>
        <v>-98773.367058905496</v>
      </c>
      <c r="AQ192" s="50">
        <f t="shared" si="261"/>
        <v>-56990.177523223734</v>
      </c>
      <c r="AR192" s="50">
        <f t="shared" si="261"/>
        <v>-120636.71965646485</v>
      </c>
      <c r="AS192" s="50">
        <f t="shared" si="261"/>
        <v>-46589.988460514985</v>
      </c>
      <c r="AT192" s="74"/>
      <c r="AU192" s="50">
        <f t="shared" si="261"/>
        <v>-107489.98799182374</v>
      </c>
      <c r="AV192" s="50">
        <f t="shared" si="261"/>
        <v>-83806.270400000009</v>
      </c>
      <c r="AW192" s="50">
        <f t="shared" si="261"/>
        <v>-58238.990631304325</v>
      </c>
      <c r="AX192" s="50">
        <f t="shared" si="261"/>
        <v>-83910.266284835598</v>
      </c>
      <c r="AY192" s="50">
        <f t="shared" si="261"/>
        <v>-63273.1976</v>
      </c>
      <c r="AZ192" s="50">
        <f t="shared" si="261"/>
        <v>-110830.35504644747</v>
      </c>
      <c r="BA192" s="50">
        <f t="shared" si="261"/>
        <v>-83806.834907156692</v>
      </c>
      <c r="BB192" s="50">
        <f t="shared" si="261"/>
        <v>-106271.6337400378</v>
      </c>
      <c r="BC192" s="74"/>
      <c r="BD192" s="40">
        <f t="shared" ref="BD192:BH192" si="262">+BD68-BD104-BD188</f>
        <v>0</v>
      </c>
      <c r="BE192" s="50">
        <f t="shared" si="262"/>
        <v>266535.67290336761</v>
      </c>
      <c r="BF192" s="40">
        <f t="shared" si="262"/>
        <v>-66926.192856731795</v>
      </c>
      <c r="BG192" s="40">
        <f t="shared" si="262"/>
        <v>-65825.01318400001</v>
      </c>
      <c r="BH192" s="40">
        <f t="shared" si="262"/>
        <v>-56476.35859256921</v>
      </c>
      <c r="BI192" s="40">
        <f>+BI68-BI104-BI188</f>
        <v>0</v>
      </c>
      <c r="BJ192" s="40">
        <f>+BJ68-BJ104-BJ188</f>
        <v>8490.7826360000035</v>
      </c>
      <c r="BK192" s="40">
        <f>+BK68-BK104-BK188</f>
        <v>0</v>
      </c>
      <c r="BL192" s="40">
        <f>+BL68-BL104-BL188</f>
        <v>-1190752.3674000001</v>
      </c>
      <c r="BM192" s="40">
        <f t="shared" ref="BM192" si="263">+BM68-BM104-BM188</f>
        <v>0</v>
      </c>
      <c r="BN192" s="40">
        <f>+BN68-BN104-BN188</f>
        <v>-4634.2352886889421</v>
      </c>
      <c r="BO192" s="40">
        <f>+BO68-BO104-BO188</f>
        <v>-233428</v>
      </c>
      <c r="BP192" s="70"/>
      <c r="BQ192" s="50">
        <f>SUM(BQ68-BQ190)</f>
        <v>-427383.45796314068</v>
      </c>
      <c r="BS192" s="94">
        <f>SUM(BS68-BS190)</f>
        <v>310035.64000000153</v>
      </c>
      <c r="BT192" s="280">
        <f>SUM(BT68-BT190)</f>
        <v>70093.867698080838</v>
      </c>
    </row>
    <row r="193" spans="1:66">
      <c r="D193" s="26">
        <f>+SUM(J192:M192)-D192</f>
        <v>0</v>
      </c>
      <c r="E193" s="26">
        <f>+SUM(O192:AS192)-E192</f>
        <v>0</v>
      </c>
      <c r="F193" s="26">
        <f>+SUM(AU192:BB192)-F192</f>
        <v>0</v>
      </c>
      <c r="BD193" s="52"/>
      <c r="BE193" s="53"/>
      <c r="BF193" s="52"/>
      <c r="BG193" s="52"/>
      <c r="BH193" s="52"/>
      <c r="BK193" s="38"/>
      <c r="BL193" s="38"/>
      <c r="BN193" s="38"/>
    </row>
    <row r="194" spans="1:66">
      <c r="A194" s="78"/>
      <c r="BD194" s="52"/>
      <c r="BE194" s="53"/>
      <c r="BF194" s="52"/>
      <c r="BG194" s="52"/>
      <c r="BH194" s="52"/>
    </row>
    <row r="195" spans="1:66">
      <c r="A195" s="78"/>
      <c r="BD195" s="52"/>
      <c r="BE195" s="53"/>
      <c r="BF195" s="52"/>
      <c r="BG195" s="52"/>
      <c r="BH195" s="52"/>
    </row>
    <row r="196" spans="1:66">
      <c r="B196" s="26"/>
      <c r="BD196" s="52"/>
      <c r="BE196" s="53"/>
      <c r="BF196" s="52"/>
      <c r="BG196" s="52"/>
      <c r="BH196" s="52"/>
    </row>
  </sheetData>
  <phoneticPr fontId="5" type="noConversion"/>
  <pageMargins left="0.75" right="0.75" top="1.5" bottom="1" header="0.5" footer="0.5"/>
  <pageSetup fitToHeight="4" orientation="portrait"/>
  <headerFooter alignWithMargins="0">
    <oddHeader>&amp;C&amp;"MS Sans Serif,Bold"&amp;18INTERNATIONAL SCHOOL of LOUISIANA
CAMP STREET
Budget '13-2014</oddHeader>
    <oddFooter>&amp;L&amp;6&amp;Z&amp;F&amp;R&amp;P of &amp;N</oddFooter>
  </headerFooter>
  <ignoredErrors>
    <ignoredError sqref="W84 AB84 E95:E102" formula="1"/>
    <ignoredError sqref="D7 F7 D110 F110 D154 F154 F158 E110:E118" formulaRange="1"/>
    <ignoredError sqref="BD10:BO10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AP196"/>
  <sheetViews>
    <sheetView workbookViewId="0">
      <pane xSplit="2" ySplit="10" topLeftCell="S11" activePane="bottomRight" state="frozen"/>
      <selection pane="topRight" activeCell="C1" sqref="C1"/>
      <selection pane="bottomLeft" activeCell="A11" sqref="A11"/>
      <selection pane="bottomRight" activeCell="F1" sqref="F1"/>
    </sheetView>
  </sheetViews>
  <sheetFormatPr baseColWidth="10" defaultColWidth="11.42578125" defaultRowHeight="13" x14ac:dyDescent="0"/>
  <cols>
    <col min="1" max="1" width="15" style="31" customWidth="1"/>
    <col min="2" max="2" width="26.85546875" style="31" customWidth="1"/>
    <col min="3" max="7" width="11.42578125" style="1"/>
    <col min="8" max="8" width="3.28515625" style="1" customWidth="1"/>
    <col min="9" max="24" width="11.42578125" style="1" customWidth="1"/>
    <col min="25" max="25" width="3.28515625" style="1" customWidth="1"/>
    <col min="26" max="26" width="8.28515625" style="1" bestFit="1" customWidth="1"/>
    <col min="27" max="27" width="8.5703125" style="26" bestFit="1" customWidth="1"/>
    <col min="28" max="30" width="9.140625" style="1" bestFit="1" customWidth="1"/>
    <col min="31" max="31" width="11.42578125" style="1"/>
    <col min="32" max="32" width="9" style="1" bestFit="1" customWidth="1"/>
    <col min="33" max="33" width="9.5703125" style="1" bestFit="1" customWidth="1"/>
    <col min="34" max="34" width="9.28515625" style="1" bestFit="1" customWidth="1"/>
    <col min="35" max="35" width="9.85546875" style="1" bestFit="1" customWidth="1"/>
    <col min="36" max="36" width="11.85546875" style="1" bestFit="1" customWidth="1"/>
    <col min="37" max="37" width="9.140625" style="1" bestFit="1" customWidth="1"/>
    <col min="38" max="38" width="3.28515625" style="1" customWidth="1"/>
    <col min="39" max="39" width="11.42578125" style="49"/>
    <col min="40" max="40" width="5.5703125" style="1" customWidth="1"/>
    <col min="41" max="41" width="12.5703125" style="30" bestFit="1" customWidth="1"/>
    <col min="42" max="42" width="11" bestFit="1" customWidth="1"/>
    <col min="43" max="16384" width="11.42578125" style="1"/>
  </cols>
  <sheetData>
    <row r="1" spans="1:42">
      <c r="H1" s="67"/>
      <c r="Y1" s="67"/>
      <c r="AL1" s="67"/>
    </row>
    <row r="2" spans="1:42">
      <c r="A2" s="30" t="s">
        <v>614</v>
      </c>
      <c r="B2" s="47">
        <v>8526</v>
      </c>
      <c r="H2" s="67"/>
      <c r="Y2" s="67"/>
      <c r="AA2" s="26" t="s">
        <v>267</v>
      </c>
      <c r="AL2" s="67"/>
    </row>
    <row r="3" spans="1:42">
      <c r="B3" s="174"/>
      <c r="H3" s="67"/>
      <c r="Y3" s="67"/>
      <c r="AL3" s="67"/>
    </row>
    <row r="4" spans="1:42" ht="15">
      <c r="A4" s="253" t="s">
        <v>577</v>
      </c>
      <c r="B4" s="32">
        <f>SUM(SUM!B6)</f>
        <v>215</v>
      </c>
      <c r="H4" s="67"/>
      <c r="Y4" s="67"/>
      <c r="AL4" s="67"/>
    </row>
    <row r="5" spans="1:42">
      <c r="B5" s="32"/>
      <c r="H5" s="67"/>
      <c r="Y5" s="67"/>
      <c r="AL5" s="67"/>
    </row>
    <row r="6" spans="1:42">
      <c r="B6" s="32"/>
      <c r="F6" s="1" t="s">
        <v>410</v>
      </c>
      <c r="H6" s="67"/>
      <c r="Y6" s="67"/>
      <c r="AI6" s="56"/>
      <c r="AK6" s="56"/>
      <c r="AL6" s="67"/>
    </row>
    <row r="7" spans="1:42" s="8" customFormat="1" ht="12">
      <c r="A7" s="28"/>
      <c r="B7" s="32"/>
      <c r="C7" s="8">
        <v>0</v>
      </c>
      <c r="D7" s="46">
        <f>+SUM(I7:K7)</f>
        <v>6</v>
      </c>
      <c r="E7" s="46">
        <f>+SUM(L7:X7)</f>
        <v>16</v>
      </c>
      <c r="F7" s="46">
        <v>2</v>
      </c>
      <c r="G7" s="46">
        <v>0</v>
      </c>
      <c r="H7" s="77"/>
      <c r="I7" s="46">
        <v>2</v>
      </c>
      <c r="J7" s="46">
        <v>2</v>
      </c>
      <c r="K7" s="46">
        <v>2</v>
      </c>
      <c r="L7" s="46">
        <v>2</v>
      </c>
      <c r="M7" s="46">
        <v>2</v>
      </c>
      <c r="N7" s="46">
        <v>2</v>
      </c>
      <c r="O7" s="46">
        <v>2</v>
      </c>
      <c r="P7" s="46">
        <v>2</v>
      </c>
      <c r="Q7" s="46">
        <v>2</v>
      </c>
      <c r="R7" s="46"/>
      <c r="S7" s="46">
        <v>1</v>
      </c>
      <c r="T7" s="46">
        <v>1</v>
      </c>
      <c r="U7" s="46">
        <v>0</v>
      </c>
      <c r="V7" s="46">
        <v>1</v>
      </c>
      <c r="W7" s="46">
        <v>0</v>
      </c>
      <c r="X7" s="46">
        <v>1</v>
      </c>
      <c r="Y7" s="77"/>
      <c r="Z7" s="155">
        <v>0</v>
      </c>
      <c r="AA7" s="90">
        <f>SUM('AC-SVC'!E7)</f>
        <v>0.5</v>
      </c>
      <c r="AB7" s="156">
        <f>SUM('AC-SVC'!H7)</f>
        <v>0.2</v>
      </c>
      <c r="AC7" s="156">
        <f>SUM('AC-SVC'!K7)</f>
        <v>0</v>
      </c>
      <c r="AD7" s="156">
        <f>SUM('AC-SVC'!N7)</f>
        <v>0.5</v>
      </c>
      <c r="AE7" s="156">
        <v>0</v>
      </c>
      <c r="AF7" s="155">
        <f>SUM(PT!D7)</f>
        <v>2</v>
      </c>
      <c r="AG7" s="155">
        <f>SUM(CCLC!D7)</f>
        <v>0</v>
      </c>
      <c r="AH7" s="155">
        <f>SUM(FC!E7)</f>
        <v>2</v>
      </c>
      <c r="AI7" s="90">
        <v>0</v>
      </c>
      <c r="AJ7" s="155">
        <f>SUM(FS!E7)</f>
        <v>2</v>
      </c>
      <c r="AK7" s="88">
        <f>SUM(IT!E7)</f>
        <v>0</v>
      </c>
      <c r="AL7" s="68"/>
      <c r="AM7" s="57">
        <f>SUM(C7:G7)+SUM(Z7:AK7)</f>
        <v>31.2</v>
      </c>
      <c r="AO7" s="116"/>
      <c r="AP7" s="287">
        <v>215</v>
      </c>
    </row>
    <row r="8" spans="1:42" ht="10">
      <c r="B8" s="175"/>
      <c r="H8" s="67"/>
      <c r="Y8" s="67"/>
      <c r="AF8" s="21">
        <f>SUM(PT!D8)</f>
        <v>25</v>
      </c>
      <c r="AG8" s="21">
        <f>SUM(CCLC!D8)</f>
        <v>50</v>
      </c>
      <c r="AL8" s="67"/>
      <c r="AO8" s="118" t="s">
        <v>577</v>
      </c>
      <c r="AP8" s="118" t="s">
        <v>577</v>
      </c>
    </row>
    <row r="9" spans="1:42" ht="10">
      <c r="C9" s="1" t="s">
        <v>175</v>
      </c>
      <c r="D9" s="1" t="s">
        <v>176</v>
      </c>
      <c r="E9" s="1" t="s">
        <v>401</v>
      </c>
      <c r="F9" s="1" t="s">
        <v>395</v>
      </c>
      <c r="G9" s="1" t="s">
        <v>559</v>
      </c>
      <c r="H9" s="67"/>
      <c r="Y9" s="67"/>
      <c r="Z9" s="56" t="s">
        <v>180</v>
      </c>
      <c r="AA9" s="29" t="s">
        <v>408</v>
      </c>
      <c r="AB9" s="56" t="s">
        <v>181</v>
      </c>
      <c r="AC9" s="56" t="s">
        <v>182</v>
      </c>
      <c r="AD9" s="56" t="s">
        <v>183</v>
      </c>
      <c r="AE9" s="1" t="s">
        <v>446</v>
      </c>
      <c r="AF9" s="56" t="s">
        <v>191</v>
      </c>
      <c r="AG9" s="56" t="s">
        <v>192</v>
      </c>
      <c r="AH9" s="56" t="s">
        <v>188</v>
      </c>
      <c r="AI9" s="1" t="s">
        <v>185</v>
      </c>
      <c r="AJ9" s="56" t="s">
        <v>190</v>
      </c>
      <c r="AK9" s="56" t="s">
        <v>430</v>
      </c>
      <c r="AL9" s="67"/>
      <c r="AO9" s="124" t="s">
        <v>453</v>
      </c>
      <c r="AP9" s="124" t="s">
        <v>588</v>
      </c>
    </row>
    <row r="10" spans="1:42" s="7" customFormat="1" ht="11" thickBot="1">
      <c r="A10" s="33"/>
      <c r="B10" s="33" t="s">
        <v>174</v>
      </c>
      <c r="C10" s="7">
        <v>1000</v>
      </c>
      <c r="D10" s="7">
        <v>1105</v>
      </c>
      <c r="E10" s="7" t="s">
        <v>402</v>
      </c>
      <c r="F10" s="7">
        <v>2410</v>
      </c>
      <c r="G10" s="7" t="s">
        <v>396</v>
      </c>
      <c r="H10" s="69"/>
      <c r="I10" s="7" t="s">
        <v>327</v>
      </c>
      <c r="J10" s="7" t="s">
        <v>328</v>
      </c>
      <c r="K10" s="7" t="s">
        <v>449</v>
      </c>
      <c r="L10" s="7" t="s">
        <v>332</v>
      </c>
      <c r="M10" s="7" t="s">
        <v>333</v>
      </c>
      <c r="N10" s="7" t="s">
        <v>403</v>
      </c>
      <c r="O10" s="7" t="s">
        <v>336</v>
      </c>
      <c r="P10" s="7" t="s">
        <v>337</v>
      </c>
      <c r="Q10" s="7" t="s">
        <v>607</v>
      </c>
      <c r="R10" s="7" t="s">
        <v>608</v>
      </c>
      <c r="S10" s="7" t="s">
        <v>341</v>
      </c>
      <c r="T10" s="7" t="s">
        <v>361</v>
      </c>
      <c r="U10" s="7" t="s">
        <v>575</v>
      </c>
      <c r="V10" s="7" t="s">
        <v>363</v>
      </c>
      <c r="W10" s="7" t="s">
        <v>366</v>
      </c>
      <c r="X10" s="7" t="s">
        <v>362</v>
      </c>
      <c r="Y10" s="69"/>
      <c r="Z10" s="7" t="s">
        <v>392</v>
      </c>
      <c r="AA10" s="43" t="s">
        <v>409</v>
      </c>
      <c r="AB10" s="7">
        <v>2122</v>
      </c>
      <c r="AC10" s="7">
        <v>2134</v>
      </c>
      <c r="AD10" s="7">
        <v>2252</v>
      </c>
      <c r="AF10" s="7">
        <v>3200</v>
      </c>
      <c r="AG10" s="7">
        <v>3210</v>
      </c>
      <c r="AH10" s="7">
        <v>2620</v>
      </c>
      <c r="AI10" s="7">
        <v>2500</v>
      </c>
      <c r="AJ10" s="7">
        <v>3100</v>
      </c>
      <c r="AK10" s="7">
        <v>2840</v>
      </c>
      <c r="AL10" s="69"/>
      <c r="AM10" s="51"/>
      <c r="AO10" s="119" t="s">
        <v>642</v>
      </c>
      <c r="AP10" s="119" t="s">
        <v>454</v>
      </c>
    </row>
    <row r="11" spans="1:42">
      <c r="A11" s="31" t="s">
        <v>268</v>
      </c>
      <c r="H11" s="67"/>
      <c r="Y11" s="67"/>
      <c r="Z11" s="38"/>
      <c r="AA11" s="47"/>
      <c r="AB11" s="38"/>
      <c r="AC11" s="38"/>
      <c r="AD11" s="38"/>
      <c r="AF11" s="38"/>
      <c r="AG11" s="38"/>
      <c r="AH11" s="38"/>
      <c r="AJ11" s="38"/>
      <c r="AK11" s="38"/>
      <c r="AL11" s="67"/>
      <c r="AO11" s="117"/>
    </row>
    <row r="12" spans="1:42">
      <c r="A12" s="31" t="s">
        <v>269</v>
      </c>
      <c r="H12" s="67"/>
      <c r="Y12" s="67"/>
      <c r="Z12" s="38"/>
      <c r="AA12" s="47"/>
      <c r="AB12" s="38"/>
      <c r="AC12" s="38"/>
      <c r="AD12" s="38"/>
      <c r="AF12" s="38"/>
      <c r="AG12" s="38"/>
      <c r="AH12" s="38"/>
      <c r="AJ12" s="38"/>
      <c r="AK12" s="38"/>
      <c r="AL12" s="67"/>
      <c r="AO12" s="117"/>
    </row>
    <row r="13" spans="1:42" ht="12">
      <c r="A13" s="31" t="s">
        <v>171</v>
      </c>
      <c r="B13" s="31" t="s">
        <v>270</v>
      </c>
      <c r="C13" s="38"/>
      <c r="D13" s="54">
        <f t="shared" ref="D13" si="0">SUM(I13:K13)</f>
        <v>0</v>
      </c>
      <c r="E13" s="54">
        <f t="shared" ref="E13" si="1">+SUM(L13:X13)</f>
        <v>0</v>
      </c>
      <c r="F13" s="38"/>
      <c r="G13" s="38"/>
      <c r="H13" s="71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67"/>
      <c r="Z13" s="54">
        <f>SUM('AC-SVC'!C13)*Z$7</f>
        <v>0</v>
      </c>
      <c r="AA13" s="54">
        <f>SUM('AC-SVC'!E13)</f>
        <v>0</v>
      </c>
      <c r="AB13" s="54">
        <f>SUM('AC-SVC'!H13)</f>
        <v>0</v>
      </c>
      <c r="AC13" s="54">
        <f>SUM('AC-SVC'!K13)</f>
        <v>0</v>
      </c>
      <c r="AD13" s="54">
        <f>SUM('AC-SVC'!N13)</f>
        <v>0</v>
      </c>
      <c r="AE13" s="54">
        <f>SUM('AC-SVC'!P13)*AE$7</f>
        <v>0</v>
      </c>
      <c r="AF13" s="54">
        <f>SUM(PT!D13)</f>
        <v>0</v>
      </c>
      <c r="AG13" s="54">
        <f>SUM(CCLC!D13)</f>
        <v>0</v>
      </c>
      <c r="AH13" s="54">
        <f>SUM(FC!E13)</f>
        <v>0</v>
      </c>
      <c r="AI13" s="54">
        <v>0</v>
      </c>
      <c r="AJ13" s="54">
        <f>SUM(FS!E13)</f>
        <v>0</v>
      </c>
      <c r="AK13" s="54">
        <f>SUM(IT!E13)</f>
        <v>0</v>
      </c>
      <c r="AL13" s="67"/>
      <c r="AM13" s="60">
        <f t="shared" ref="AM13:AM37" si="2">SUM(C13:G13)+SUM(Z13:AK13)</f>
        <v>0</v>
      </c>
      <c r="AO13" s="120"/>
      <c r="AP13" s="288">
        <f>SUM(Sheet1!J13)</f>
        <v>0</v>
      </c>
    </row>
    <row r="14" spans="1:42" ht="12">
      <c r="A14" s="31" t="s">
        <v>172</v>
      </c>
      <c r="B14" s="31" t="s">
        <v>271</v>
      </c>
      <c r="C14" s="38">
        <v>75000</v>
      </c>
      <c r="D14" s="54">
        <f t="shared" ref="D14:D37" si="3">SUM(I14:K14)</f>
        <v>0</v>
      </c>
      <c r="E14" s="54">
        <f t="shared" ref="E14:E37" si="4">+SUM(L14:X14)</f>
        <v>0</v>
      </c>
      <c r="F14" s="38"/>
      <c r="G14" s="38"/>
      <c r="H14" s="71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67"/>
      <c r="Z14" s="54">
        <f>SUM('AC-SVC'!C14)*Z$7</f>
        <v>0</v>
      </c>
      <c r="AA14" s="54">
        <f>SUM('AC-SVC'!E14)</f>
        <v>0</v>
      </c>
      <c r="AB14" s="54">
        <f>SUM('AC-SVC'!H14)</f>
        <v>0</v>
      </c>
      <c r="AC14" s="54">
        <f>SUM('AC-SVC'!K14)</f>
        <v>0</v>
      </c>
      <c r="AD14" s="54">
        <f>SUM('AC-SVC'!N14)</f>
        <v>0</v>
      </c>
      <c r="AE14" s="54">
        <f>SUM('AC-SVC'!P14)*AE$7</f>
        <v>0</v>
      </c>
      <c r="AF14" s="54">
        <f>SUM(PT!D14)</f>
        <v>0</v>
      </c>
      <c r="AG14" s="54">
        <f>SUM(CCLC!D14)</f>
        <v>0</v>
      </c>
      <c r="AH14" s="54">
        <f>SUM(FC!E14)</f>
        <v>0</v>
      </c>
      <c r="AI14" s="54">
        <v>0</v>
      </c>
      <c r="AJ14" s="54">
        <f>SUM(FS!E14)</f>
        <v>0</v>
      </c>
      <c r="AK14" s="54">
        <f>SUM(IT!E14)</f>
        <v>0</v>
      </c>
      <c r="AL14" s="67"/>
      <c r="AM14" s="60">
        <f t="shared" si="2"/>
        <v>75000</v>
      </c>
      <c r="AO14" s="121">
        <v>13828.14</v>
      </c>
      <c r="AP14" s="288">
        <f>SUM(Sheet1!J14)</f>
        <v>27033.004716981133</v>
      </c>
    </row>
    <row r="15" spans="1:42" ht="12">
      <c r="A15" s="31" t="s">
        <v>173</v>
      </c>
      <c r="B15" s="31" t="s">
        <v>272</v>
      </c>
      <c r="C15" s="38"/>
      <c r="D15" s="54">
        <f t="shared" si="3"/>
        <v>0</v>
      </c>
      <c r="E15" s="54">
        <f t="shared" si="4"/>
        <v>0</v>
      </c>
      <c r="F15" s="38"/>
      <c r="G15" s="38"/>
      <c r="H15" s="7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67"/>
      <c r="Z15" s="54">
        <f>SUM('AC-SVC'!C15)*Z$7</f>
        <v>0</v>
      </c>
      <c r="AA15" s="54">
        <f>SUM('AC-SVC'!E15)</f>
        <v>0</v>
      </c>
      <c r="AB15" s="54">
        <f>SUM('AC-SVC'!H15)</f>
        <v>0</v>
      </c>
      <c r="AC15" s="54">
        <f>SUM('AC-SVC'!K15)</f>
        <v>0</v>
      </c>
      <c r="AD15" s="54">
        <f>SUM('AC-SVC'!N15)</f>
        <v>0</v>
      </c>
      <c r="AE15" s="54">
        <f>SUM('AC-SVC'!P15)*AE$7</f>
        <v>0</v>
      </c>
      <c r="AF15" s="54">
        <f>SUM(PT!D15)</f>
        <v>0</v>
      </c>
      <c r="AG15" s="54">
        <f>SUM(CCLC!D15)</f>
        <v>0</v>
      </c>
      <c r="AH15" s="54">
        <f>SUM(FC!E15)</f>
        <v>0</v>
      </c>
      <c r="AI15" s="54">
        <v>0</v>
      </c>
      <c r="AJ15" s="54">
        <f>SUM(FS!E15)</f>
        <v>0</v>
      </c>
      <c r="AK15" s="54">
        <f>SUM(IT!E15)</f>
        <v>0</v>
      </c>
      <c r="AL15" s="67"/>
      <c r="AM15" s="60">
        <f t="shared" si="2"/>
        <v>0</v>
      </c>
      <c r="AO15" s="121"/>
      <c r="AP15" s="288">
        <f>SUM(Sheet1!J15)</f>
        <v>0</v>
      </c>
    </row>
    <row r="16" spans="1:42" ht="12">
      <c r="A16" s="31" t="s">
        <v>193</v>
      </c>
      <c r="B16" s="31" t="s">
        <v>273</v>
      </c>
      <c r="C16" s="38"/>
      <c r="D16" s="54">
        <f t="shared" si="3"/>
        <v>0</v>
      </c>
      <c r="E16" s="54">
        <f t="shared" si="4"/>
        <v>0</v>
      </c>
      <c r="F16" s="38"/>
      <c r="G16" s="38"/>
      <c r="H16" s="71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67"/>
      <c r="Z16" s="54">
        <f>SUM('AC-SVC'!C16)*Z$7</f>
        <v>0</v>
      </c>
      <c r="AA16" s="54">
        <f>SUM('AC-SVC'!E16)</f>
        <v>0</v>
      </c>
      <c r="AB16" s="54">
        <f>SUM('AC-SVC'!H16)</f>
        <v>0</v>
      </c>
      <c r="AC16" s="54">
        <f>SUM('AC-SVC'!K16)</f>
        <v>0</v>
      </c>
      <c r="AD16" s="54">
        <f>SUM('AC-SVC'!N16)</f>
        <v>0</v>
      </c>
      <c r="AE16" s="54">
        <f>SUM('AC-SVC'!P16)*AE$7</f>
        <v>0</v>
      </c>
      <c r="AF16" s="54">
        <f>SUM(PT!D16)</f>
        <v>0</v>
      </c>
      <c r="AG16" s="54">
        <f>SUM(CCLC!D16)</f>
        <v>0</v>
      </c>
      <c r="AH16" s="54">
        <f>SUM(FC!E16)</f>
        <v>0</v>
      </c>
      <c r="AI16" s="54">
        <v>0</v>
      </c>
      <c r="AJ16" s="54">
        <f>SUM(FS!E16)</f>
        <v>34400</v>
      </c>
      <c r="AK16" s="54">
        <f>SUM(IT!E16)</f>
        <v>0</v>
      </c>
      <c r="AL16" s="67"/>
      <c r="AM16" s="60">
        <f t="shared" si="2"/>
        <v>34400</v>
      </c>
      <c r="AO16" s="121">
        <v>14786.23</v>
      </c>
      <c r="AP16" s="288">
        <f>SUM(Sheet1!J16)</f>
        <v>23883.429150943397</v>
      </c>
    </row>
    <row r="17" spans="1:42" ht="12">
      <c r="A17" s="31" t="s">
        <v>194</v>
      </c>
      <c r="B17" s="31" t="s">
        <v>274</v>
      </c>
      <c r="C17" s="38"/>
      <c r="D17" s="54">
        <f t="shared" si="3"/>
        <v>0</v>
      </c>
      <c r="E17" s="54">
        <f t="shared" si="4"/>
        <v>0</v>
      </c>
      <c r="F17" s="38"/>
      <c r="G17" s="38"/>
      <c r="H17" s="71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67"/>
      <c r="Z17" s="54">
        <f>SUM('AC-SVC'!C17)*Z$7</f>
        <v>0</v>
      </c>
      <c r="AA17" s="54">
        <f>SUM('AC-SVC'!E17)</f>
        <v>0</v>
      </c>
      <c r="AB17" s="54">
        <f>SUM('AC-SVC'!H17)</f>
        <v>0</v>
      </c>
      <c r="AC17" s="54">
        <f>SUM('AC-SVC'!K17)</f>
        <v>0</v>
      </c>
      <c r="AD17" s="54">
        <f>SUM('AC-SVC'!N17)</f>
        <v>0</v>
      </c>
      <c r="AE17" s="54">
        <f>SUM('AC-SVC'!P17)*AE$7</f>
        <v>0</v>
      </c>
      <c r="AF17" s="54">
        <f>SUM(PT!D17)</f>
        <v>33750</v>
      </c>
      <c r="AG17" s="54">
        <f>SUM(CCLC!D17)</f>
        <v>0</v>
      </c>
      <c r="AH17" s="54">
        <f>SUM(FC!E17)</f>
        <v>0</v>
      </c>
      <c r="AI17" s="54">
        <v>0</v>
      </c>
      <c r="AJ17" s="54">
        <f>SUM(FS!E17)</f>
        <v>0</v>
      </c>
      <c r="AK17" s="54">
        <f>SUM(IT!E17)</f>
        <v>0</v>
      </c>
      <c r="AL17" s="67"/>
      <c r="AM17" s="60">
        <f t="shared" si="2"/>
        <v>33750</v>
      </c>
      <c r="AO17" s="121">
        <v>41185.5</v>
      </c>
      <c r="AP17" s="288">
        <f>SUM(Sheet1!J17)</f>
        <v>45248.319905660377</v>
      </c>
    </row>
    <row r="18" spans="1:42" ht="12">
      <c r="A18" s="31" t="s">
        <v>195</v>
      </c>
      <c r="B18" s="31" t="s">
        <v>275</v>
      </c>
      <c r="C18" s="38"/>
      <c r="D18" s="54">
        <f t="shared" si="3"/>
        <v>0</v>
      </c>
      <c r="E18" s="54">
        <f t="shared" si="4"/>
        <v>0</v>
      </c>
      <c r="F18" s="38"/>
      <c r="G18" s="38"/>
      <c r="H18" s="7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67"/>
      <c r="Z18" s="54">
        <f>SUM('AC-SVC'!C18)*Z$7</f>
        <v>0</v>
      </c>
      <c r="AA18" s="54">
        <f>SUM('AC-SVC'!E18)</f>
        <v>0</v>
      </c>
      <c r="AB18" s="54">
        <f>SUM('AC-SVC'!H18)</f>
        <v>0</v>
      </c>
      <c r="AC18" s="54">
        <f>SUM('AC-SVC'!K18)</f>
        <v>0</v>
      </c>
      <c r="AD18" s="54">
        <f>SUM('AC-SVC'!N18)</f>
        <v>0</v>
      </c>
      <c r="AE18" s="54">
        <f>SUM('AC-SVC'!P18)*AE$7</f>
        <v>0</v>
      </c>
      <c r="AF18" s="54">
        <f>SUM(PT!D18)</f>
        <v>0</v>
      </c>
      <c r="AG18" s="54">
        <f>SUM(CCLC!D18)</f>
        <v>0</v>
      </c>
      <c r="AH18" s="54">
        <f>SUM(FC!E18)</f>
        <v>0</v>
      </c>
      <c r="AI18" s="54">
        <v>0</v>
      </c>
      <c r="AJ18" s="54">
        <f>SUM(FS!E18)</f>
        <v>0</v>
      </c>
      <c r="AK18" s="54">
        <f>SUM(IT!E18)</f>
        <v>0</v>
      </c>
      <c r="AL18" s="67"/>
      <c r="AM18" s="60">
        <f t="shared" si="2"/>
        <v>0</v>
      </c>
      <c r="AO18" s="121"/>
      <c r="AP18" s="288">
        <f>SUM(Sheet1!J18)</f>
        <v>0</v>
      </c>
    </row>
    <row r="19" spans="1:42" ht="12">
      <c r="A19" s="31" t="s">
        <v>196</v>
      </c>
      <c r="B19" s="31" t="s">
        <v>276</v>
      </c>
      <c r="C19" s="38"/>
      <c r="D19" s="54">
        <f t="shared" si="3"/>
        <v>0</v>
      </c>
      <c r="E19" s="54">
        <f t="shared" si="4"/>
        <v>0</v>
      </c>
      <c r="F19" s="38"/>
      <c r="G19" s="38"/>
      <c r="H19" s="71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67"/>
      <c r="Z19" s="54">
        <f>SUM('AC-SVC'!C19)*Z$7</f>
        <v>0</v>
      </c>
      <c r="AA19" s="54">
        <f>SUM('AC-SVC'!E19)</f>
        <v>0</v>
      </c>
      <c r="AB19" s="54">
        <f>SUM('AC-SVC'!H19)</f>
        <v>0</v>
      </c>
      <c r="AC19" s="54">
        <f>SUM('AC-SVC'!K19)</f>
        <v>0</v>
      </c>
      <c r="AD19" s="54">
        <f>SUM('AC-SVC'!N19)</f>
        <v>0</v>
      </c>
      <c r="AE19" s="54">
        <f>SUM('AC-SVC'!P19)*AE$7</f>
        <v>0</v>
      </c>
      <c r="AF19" s="54">
        <f>SUM(PT!D19)</f>
        <v>0</v>
      </c>
      <c r="AG19" s="54">
        <f>SUM(CCLC!D19)</f>
        <v>0</v>
      </c>
      <c r="AH19" s="54">
        <f>SUM(FC!E19)</f>
        <v>0</v>
      </c>
      <c r="AI19" s="54">
        <v>0</v>
      </c>
      <c r="AJ19" s="54">
        <f>SUM(FS!E19)</f>
        <v>0</v>
      </c>
      <c r="AK19" s="54">
        <f>SUM(IT!E19)</f>
        <v>0</v>
      </c>
      <c r="AL19" s="67"/>
      <c r="AM19" s="60">
        <f t="shared" si="2"/>
        <v>0</v>
      </c>
      <c r="AO19" s="121"/>
      <c r="AP19" s="288">
        <f>SUM(Sheet1!J19)</f>
        <v>0</v>
      </c>
    </row>
    <row r="20" spans="1:42" ht="12">
      <c r="A20" s="31" t="s">
        <v>197</v>
      </c>
      <c r="B20" s="31" t="s">
        <v>277</v>
      </c>
      <c r="C20" s="38">
        <f>190*B4*0.5</f>
        <v>20425</v>
      </c>
      <c r="D20" s="54">
        <f t="shared" si="3"/>
        <v>0</v>
      </c>
      <c r="E20" s="54">
        <f t="shared" si="4"/>
        <v>0</v>
      </c>
      <c r="F20" s="38"/>
      <c r="G20" s="38"/>
      <c r="H20" s="71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67"/>
      <c r="Z20" s="54">
        <f>SUM('AC-SVC'!C20)*Z$7</f>
        <v>0</v>
      </c>
      <c r="AA20" s="54">
        <f>SUM('AC-SVC'!E20)</f>
        <v>0</v>
      </c>
      <c r="AB20" s="54">
        <f>SUM('AC-SVC'!H20)</f>
        <v>0</v>
      </c>
      <c r="AC20" s="54">
        <f>SUM('AC-SVC'!K20)</f>
        <v>0</v>
      </c>
      <c r="AD20" s="54">
        <f>SUM('AC-SVC'!N20)</f>
        <v>0</v>
      </c>
      <c r="AE20" s="54">
        <f>SUM('AC-SVC'!P20)*AE$7</f>
        <v>0</v>
      </c>
      <c r="AF20" s="54">
        <f>SUM(PT!D20)</f>
        <v>0</v>
      </c>
      <c r="AG20" s="54">
        <f>SUM(CCLC!D20)</f>
        <v>0</v>
      </c>
      <c r="AH20" s="54">
        <f>SUM(FC!E20)</f>
        <v>0</v>
      </c>
      <c r="AI20" s="54">
        <v>0</v>
      </c>
      <c r="AJ20" s="54">
        <f>SUM(FS!E20)</f>
        <v>0</v>
      </c>
      <c r="AK20" s="54">
        <f>SUM(IT!E20)</f>
        <v>0</v>
      </c>
      <c r="AL20" s="67"/>
      <c r="AM20" s="60">
        <f t="shared" si="2"/>
        <v>20425</v>
      </c>
      <c r="AO20" s="121"/>
      <c r="AP20" s="288">
        <f>SUM(Sheet1!J20)</f>
        <v>0</v>
      </c>
    </row>
    <row r="21" spans="1:42" ht="12">
      <c r="A21" s="31" t="s">
        <v>198</v>
      </c>
      <c r="B21" s="31" t="s">
        <v>278</v>
      </c>
      <c r="C21" s="65">
        <f>SUM(SUM!B6*190)</f>
        <v>40850</v>
      </c>
      <c r="D21" s="54">
        <f t="shared" si="3"/>
        <v>0</v>
      </c>
      <c r="E21" s="54">
        <f t="shared" si="4"/>
        <v>0</v>
      </c>
      <c r="F21" s="38"/>
      <c r="G21" s="38"/>
      <c r="H21" s="71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67"/>
      <c r="Z21" s="54">
        <f>SUM('AC-SVC'!C21)*Z$7</f>
        <v>0</v>
      </c>
      <c r="AA21" s="54">
        <f>SUM('AC-SVC'!E21)</f>
        <v>0</v>
      </c>
      <c r="AB21" s="54">
        <f>SUM('AC-SVC'!H21)</f>
        <v>0</v>
      </c>
      <c r="AC21" s="54">
        <f>SUM('AC-SVC'!K21)</f>
        <v>0</v>
      </c>
      <c r="AD21" s="54">
        <f>SUM('AC-SVC'!N21)</f>
        <v>0</v>
      </c>
      <c r="AE21" s="54">
        <f>SUM('AC-SVC'!P21)*AE$7</f>
        <v>0</v>
      </c>
      <c r="AF21" s="54">
        <f>SUM(PT!D21)</f>
        <v>0</v>
      </c>
      <c r="AG21" s="54">
        <f>SUM(CCLC!D21)</f>
        <v>0</v>
      </c>
      <c r="AH21" s="54">
        <f>SUM(FC!E21)</f>
        <v>0</v>
      </c>
      <c r="AI21" s="54">
        <v>0</v>
      </c>
      <c r="AJ21" s="54">
        <f>SUM(FS!E21)</f>
        <v>0</v>
      </c>
      <c r="AK21" s="54">
        <f>SUM(IT!E21)</f>
        <v>0</v>
      </c>
      <c r="AL21" s="67"/>
      <c r="AM21" s="60">
        <f t="shared" si="2"/>
        <v>40850</v>
      </c>
      <c r="AO21" s="121">
        <v>18427.580000000002</v>
      </c>
      <c r="AP21" s="288">
        <f>SUM(Sheet1!J21)</f>
        <v>26162.607641509432</v>
      </c>
    </row>
    <row r="22" spans="1:42" ht="12">
      <c r="A22" s="31" t="s">
        <v>199</v>
      </c>
      <c r="B22" s="31" t="s">
        <v>279</v>
      </c>
      <c r="C22" s="38"/>
      <c r="D22" s="54">
        <f t="shared" si="3"/>
        <v>0</v>
      </c>
      <c r="E22" s="54">
        <f t="shared" si="4"/>
        <v>0</v>
      </c>
      <c r="F22" s="38"/>
      <c r="G22" s="38"/>
      <c r="H22" s="7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67"/>
      <c r="Z22" s="54">
        <f>SUM('AC-SVC'!C22)*Z$7</f>
        <v>0</v>
      </c>
      <c r="AA22" s="54">
        <f>SUM('AC-SVC'!E22)</f>
        <v>0</v>
      </c>
      <c r="AB22" s="54">
        <f>SUM('AC-SVC'!H22)</f>
        <v>0</v>
      </c>
      <c r="AC22" s="54">
        <f>SUM('AC-SVC'!K22)</f>
        <v>0</v>
      </c>
      <c r="AD22" s="54">
        <f>SUM('AC-SVC'!N22)</f>
        <v>0</v>
      </c>
      <c r="AE22" s="54">
        <f>SUM('AC-SVC'!P22)*AE$7</f>
        <v>0</v>
      </c>
      <c r="AF22" s="54">
        <f>SUM(PT!D22)</f>
        <v>0</v>
      </c>
      <c r="AG22" s="54">
        <f>SUM(CCLC!D22)</f>
        <v>0</v>
      </c>
      <c r="AH22" s="54">
        <f>SUM(FC!E22)</f>
        <v>0</v>
      </c>
      <c r="AI22" s="54">
        <v>0</v>
      </c>
      <c r="AJ22" s="54">
        <f>SUM(FS!E22)</f>
        <v>0</v>
      </c>
      <c r="AK22" s="54">
        <f>SUM(IT!E22)</f>
        <v>0</v>
      </c>
      <c r="AL22" s="67"/>
      <c r="AM22" s="60">
        <f t="shared" si="2"/>
        <v>0</v>
      </c>
      <c r="AO22" s="121"/>
      <c r="AP22" s="288">
        <f>SUM(Sheet1!J22)</f>
        <v>0</v>
      </c>
    </row>
    <row r="23" spans="1:42" ht="12">
      <c r="A23" s="31" t="s">
        <v>200</v>
      </c>
      <c r="B23" s="31" t="s">
        <v>280</v>
      </c>
      <c r="C23" s="38"/>
      <c r="D23" s="54">
        <f t="shared" si="3"/>
        <v>0</v>
      </c>
      <c r="E23" s="54">
        <f t="shared" si="4"/>
        <v>0</v>
      </c>
      <c r="F23" s="38"/>
      <c r="G23" s="38"/>
      <c r="H23" s="71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67"/>
      <c r="Z23" s="54">
        <f>SUM('AC-SVC'!C23)*Z$7</f>
        <v>0</v>
      </c>
      <c r="AA23" s="54">
        <f>SUM('AC-SVC'!E23)</f>
        <v>0</v>
      </c>
      <c r="AB23" s="54">
        <f>SUM('AC-SVC'!H23)</f>
        <v>0</v>
      </c>
      <c r="AC23" s="54">
        <f>SUM('AC-SVC'!K23)</f>
        <v>0</v>
      </c>
      <c r="AD23" s="54">
        <f>SUM('AC-SVC'!N23)</f>
        <v>500</v>
      </c>
      <c r="AE23" s="54">
        <f>SUM('AC-SVC'!P23)*AE$7</f>
        <v>0</v>
      </c>
      <c r="AF23" s="54">
        <f>SUM(PT!D23)</f>
        <v>0</v>
      </c>
      <c r="AG23" s="54">
        <f>SUM(CCLC!D23)</f>
        <v>0</v>
      </c>
      <c r="AH23" s="54">
        <f>SUM(FC!E23)</f>
        <v>0</v>
      </c>
      <c r="AI23" s="54">
        <v>0</v>
      </c>
      <c r="AJ23" s="54">
        <f>SUM(FS!E23)</f>
        <v>0</v>
      </c>
      <c r="AK23" s="54">
        <f>SUM(IT!E23)</f>
        <v>0</v>
      </c>
      <c r="AL23" s="67"/>
      <c r="AM23" s="60">
        <f t="shared" si="2"/>
        <v>500</v>
      </c>
      <c r="AO23" s="121"/>
      <c r="AP23" s="288">
        <f>SUM(Sheet1!J23)</f>
        <v>262.46226415094338</v>
      </c>
    </row>
    <row r="24" spans="1:42" ht="12">
      <c r="A24" s="31" t="s">
        <v>201</v>
      </c>
      <c r="B24" s="31" t="s">
        <v>281</v>
      </c>
      <c r="C24" s="38"/>
      <c r="D24" s="54">
        <f t="shared" si="3"/>
        <v>0</v>
      </c>
      <c r="E24" s="54">
        <f t="shared" si="4"/>
        <v>0</v>
      </c>
      <c r="F24" s="38"/>
      <c r="G24" s="38"/>
      <c r="H24" s="7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67"/>
      <c r="Z24" s="54">
        <f>SUM('AC-SVC'!C24)*Z$7</f>
        <v>0</v>
      </c>
      <c r="AA24" s="54">
        <f>SUM('AC-SVC'!E24)</f>
        <v>0</v>
      </c>
      <c r="AB24" s="54">
        <f>SUM('AC-SVC'!H24)</f>
        <v>0</v>
      </c>
      <c r="AC24" s="54">
        <f>SUM('AC-SVC'!K24)</f>
        <v>0</v>
      </c>
      <c r="AD24" s="54">
        <f>SUM('AC-SVC'!N24)</f>
        <v>0</v>
      </c>
      <c r="AE24" s="54">
        <f>SUM('AC-SVC'!P24)*AE$7</f>
        <v>0</v>
      </c>
      <c r="AF24" s="54">
        <f>SUM(PT!D24)</f>
        <v>0</v>
      </c>
      <c r="AG24" s="54">
        <f>SUM(CCLC!D24)</f>
        <v>0</v>
      </c>
      <c r="AH24" s="54">
        <f>SUM(FC!E24)</f>
        <v>0</v>
      </c>
      <c r="AI24" s="54">
        <v>0</v>
      </c>
      <c r="AJ24" s="54">
        <f>SUM(FS!E24)</f>
        <v>0</v>
      </c>
      <c r="AK24" s="54">
        <f>SUM(IT!E24)</f>
        <v>0</v>
      </c>
      <c r="AL24" s="67"/>
      <c r="AM24" s="60">
        <f t="shared" si="2"/>
        <v>0</v>
      </c>
      <c r="AO24" s="121"/>
      <c r="AP24" s="288">
        <f>SUM(Sheet1!J24)</f>
        <v>0</v>
      </c>
    </row>
    <row r="25" spans="1:42" ht="12">
      <c r="A25" s="31" t="s">
        <v>202</v>
      </c>
      <c r="B25" s="31" t="s">
        <v>282</v>
      </c>
      <c r="C25" s="38"/>
      <c r="D25" s="54">
        <f t="shared" si="3"/>
        <v>0</v>
      </c>
      <c r="E25" s="54">
        <f t="shared" si="4"/>
        <v>0</v>
      </c>
      <c r="F25" s="38"/>
      <c r="G25" s="38"/>
      <c r="H25" s="71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67"/>
      <c r="Z25" s="54">
        <f>SUM('AC-SVC'!C25)*Z$7</f>
        <v>0</v>
      </c>
      <c r="AA25" s="54">
        <f>SUM('AC-SVC'!E25)</f>
        <v>0</v>
      </c>
      <c r="AB25" s="54">
        <f>SUM('AC-SVC'!H25)</f>
        <v>0</v>
      </c>
      <c r="AC25" s="54">
        <f>SUM('AC-SVC'!K25)</f>
        <v>0</v>
      </c>
      <c r="AD25" s="54">
        <f>SUM('AC-SVC'!N25)</f>
        <v>0</v>
      </c>
      <c r="AE25" s="54">
        <f>SUM('AC-SVC'!P25)*AE$7</f>
        <v>0</v>
      </c>
      <c r="AF25" s="54">
        <f>SUM(PT!D25)</f>
        <v>0</v>
      </c>
      <c r="AG25" s="54">
        <f>SUM(CCLC!D25)</f>
        <v>0</v>
      </c>
      <c r="AH25" s="54">
        <f>SUM(FC!E25)</f>
        <v>0</v>
      </c>
      <c r="AI25" s="54">
        <v>0</v>
      </c>
      <c r="AJ25" s="54">
        <f>SUM(FS!E25)</f>
        <v>0</v>
      </c>
      <c r="AK25" s="54">
        <f>SUM(IT!E25)</f>
        <v>0</v>
      </c>
      <c r="AL25" s="67"/>
      <c r="AM25" s="60">
        <f t="shared" si="2"/>
        <v>0</v>
      </c>
      <c r="AO25" s="121"/>
      <c r="AP25" s="288">
        <f>SUM(Sheet1!J25)</f>
        <v>0</v>
      </c>
    </row>
    <row r="26" spans="1:42" ht="12">
      <c r="A26" s="31" t="s">
        <v>203</v>
      </c>
      <c r="B26" s="31" t="s">
        <v>283</v>
      </c>
      <c r="C26" s="38"/>
      <c r="D26" s="54">
        <f t="shared" si="3"/>
        <v>0</v>
      </c>
      <c r="E26" s="54">
        <f t="shared" si="4"/>
        <v>0</v>
      </c>
      <c r="F26" s="38"/>
      <c r="G26" s="38"/>
      <c r="H26" s="71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67"/>
      <c r="Z26" s="54">
        <f>SUM('AC-SVC'!C26)*Z$7</f>
        <v>0</v>
      </c>
      <c r="AA26" s="54">
        <f>SUM('AC-SVC'!E26)</f>
        <v>0</v>
      </c>
      <c r="AB26" s="54">
        <f>SUM('AC-SVC'!H26)</f>
        <v>0</v>
      </c>
      <c r="AC26" s="54">
        <f>SUM('AC-SVC'!K26)</f>
        <v>0</v>
      </c>
      <c r="AD26" s="54">
        <f>SUM('AC-SVC'!N26)</f>
        <v>0</v>
      </c>
      <c r="AE26" s="54">
        <f>SUM('AC-SVC'!P26)*AE$7</f>
        <v>0</v>
      </c>
      <c r="AF26" s="54">
        <f>SUM(PT!D26)</f>
        <v>0</v>
      </c>
      <c r="AG26" s="54">
        <f>SUM(CCLC!D26)</f>
        <v>0</v>
      </c>
      <c r="AH26" s="54">
        <f>SUM(FC!E26)</f>
        <v>0</v>
      </c>
      <c r="AI26" s="54">
        <v>0</v>
      </c>
      <c r="AJ26" s="54">
        <f>SUM(FS!E26)</f>
        <v>0</v>
      </c>
      <c r="AK26" s="54">
        <f>SUM(IT!E26)</f>
        <v>0</v>
      </c>
      <c r="AL26" s="67"/>
      <c r="AM26" s="60">
        <f t="shared" si="2"/>
        <v>0</v>
      </c>
      <c r="AO26" s="121"/>
      <c r="AP26" s="288">
        <f>SUM(Sheet1!J26)</f>
        <v>0</v>
      </c>
    </row>
    <row r="27" spans="1:42" ht="12">
      <c r="A27" s="31" t="s">
        <v>204</v>
      </c>
      <c r="B27" s="31" t="s">
        <v>284</v>
      </c>
      <c r="C27" s="38"/>
      <c r="D27" s="54">
        <f t="shared" si="3"/>
        <v>0</v>
      </c>
      <c r="E27" s="54">
        <f t="shared" si="4"/>
        <v>0</v>
      </c>
      <c r="F27" s="38"/>
      <c r="G27" s="38"/>
      <c r="H27" s="71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67"/>
      <c r="Z27" s="54">
        <f>SUM('AC-SVC'!C27)*Z$7</f>
        <v>0</v>
      </c>
      <c r="AA27" s="54">
        <f>SUM('AC-SVC'!E27)</f>
        <v>0</v>
      </c>
      <c r="AB27" s="54">
        <f>SUM('AC-SVC'!H27)</f>
        <v>0</v>
      </c>
      <c r="AC27" s="54">
        <f>SUM('AC-SVC'!K27)</f>
        <v>0</v>
      </c>
      <c r="AD27" s="54">
        <f>SUM('AC-SVC'!N27)</f>
        <v>0</v>
      </c>
      <c r="AE27" s="54">
        <f>SUM('AC-SVC'!P27)*AE$7</f>
        <v>0</v>
      </c>
      <c r="AF27" s="54">
        <f>SUM(PT!D27)</f>
        <v>0</v>
      </c>
      <c r="AG27" s="54">
        <f>SUM(CCLC!D27)</f>
        <v>0</v>
      </c>
      <c r="AH27" s="54">
        <f>SUM(FC!E27)</f>
        <v>0</v>
      </c>
      <c r="AI27" s="54">
        <v>0</v>
      </c>
      <c r="AJ27" s="54">
        <f>SUM(FS!E27)</f>
        <v>0</v>
      </c>
      <c r="AK27" s="54">
        <f>SUM(IT!E27)</f>
        <v>0</v>
      </c>
      <c r="AL27" s="67"/>
      <c r="AM27" s="60">
        <f t="shared" si="2"/>
        <v>0</v>
      </c>
      <c r="AO27" s="121">
        <v>3792</v>
      </c>
      <c r="AP27" s="288">
        <f>SUM(Sheet1!J27)</f>
        <v>4281.937971698113</v>
      </c>
    </row>
    <row r="28" spans="1:42" ht="12">
      <c r="A28" s="31" t="s">
        <v>205</v>
      </c>
      <c r="B28" s="31" t="s">
        <v>285</v>
      </c>
      <c r="C28" s="38"/>
      <c r="D28" s="54">
        <f t="shared" si="3"/>
        <v>0</v>
      </c>
      <c r="E28" s="54">
        <f t="shared" si="4"/>
        <v>0</v>
      </c>
      <c r="F28" s="38"/>
      <c r="G28" s="38"/>
      <c r="H28" s="7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67"/>
      <c r="Z28" s="54">
        <f>SUM('AC-SVC'!C28)*Z$7</f>
        <v>0</v>
      </c>
      <c r="AA28" s="54">
        <f>SUM('AC-SVC'!E28)</f>
        <v>0</v>
      </c>
      <c r="AB28" s="54">
        <f>SUM('AC-SVC'!H28)</f>
        <v>0</v>
      </c>
      <c r="AC28" s="54">
        <f>SUM('AC-SVC'!K28)</f>
        <v>0</v>
      </c>
      <c r="AD28" s="54">
        <f>SUM('AC-SVC'!N28)</f>
        <v>0</v>
      </c>
      <c r="AE28" s="54">
        <f>SUM('AC-SVC'!P28)*AE$7</f>
        <v>0</v>
      </c>
      <c r="AF28" s="54">
        <f>SUM(PT!D28)</f>
        <v>0</v>
      </c>
      <c r="AG28" s="54">
        <f>SUM(CCLC!D28)</f>
        <v>0</v>
      </c>
      <c r="AH28" s="54">
        <f>SUM(FC!E28)</f>
        <v>0</v>
      </c>
      <c r="AI28" s="54">
        <v>0</v>
      </c>
      <c r="AJ28" s="54">
        <f>SUM(FS!E28)</f>
        <v>0</v>
      </c>
      <c r="AK28" s="54">
        <f>SUM(IT!E28)</f>
        <v>0</v>
      </c>
      <c r="AL28" s="67"/>
      <c r="AM28" s="60">
        <f t="shared" si="2"/>
        <v>0</v>
      </c>
      <c r="AO28" s="121">
        <v>2062.5</v>
      </c>
      <c r="AP28" s="288">
        <f>SUM(Sheet1!J28)</f>
        <v>962.17570754716985</v>
      </c>
    </row>
    <row r="29" spans="1:42" ht="12">
      <c r="A29" s="31" t="s">
        <v>206</v>
      </c>
      <c r="B29" s="31" t="s">
        <v>286</v>
      </c>
      <c r="C29" s="38"/>
      <c r="D29" s="54">
        <f t="shared" si="3"/>
        <v>0</v>
      </c>
      <c r="E29" s="54">
        <f t="shared" si="4"/>
        <v>0</v>
      </c>
      <c r="F29" s="38"/>
      <c r="G29" s="38"/>
      <c r="H29" s="71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67"/>
      <c r="Z29" s="54">
        <f>SUM('AC-SVC'!C29)*Z$7</f>
        <v>0</v>
      </c>
      <c r="AA29" s="54">
        <f>SUM('AC-SVC'!E29)</f>
        <v>0</v>
      </c>
      <c r="AB29" s="54">
        <f>SUM('AC-SVC'!H29)</f>
        <v>0</v>
      </c>
      <c r="AC29" s="54">
        <f>SUM('AC-SVC'!K29)</f>
        <v>0</v>
      </c>
      <c r="AD29" s="54">
        <f>SUM('AC-SVC'!N29)</f>
        <v>300</v>
      </c>
      <c r="AE29" s="54">
        <f>SUM('AC-SVC'!P29)*AE$7</f>
        <v>0</v>
      </c>
      <c r="AF29" s="54">
        <f>SUM(PT!D29)</f>
        <v>0</v>
      </c>
      <c r="AG29" s="54">
        <f>SUM(CCLC!D29)</f>
        <v>0</v>
      </c>
      <c r="AH29" s="54">
        <f>SUM(FC!E29)</f>
        <v>0</v>
      </c>
      <c r="AI29" s="54">
        <v>0</v>
      </c>
      <c r="AJ29" s="54">
        <f>SUM(FS!E29)</f>
        <v>0</v>
      </c>
      <c r="AK29" s="54">
        <f>SUM(IT!E29)</f>
        <v>0</v>
      </c>
      <c r="AL29" s="67"/>
      <c r="AM29" s="60">
        <f t="shared" si="2"/>
        <v>300</v>
      </c>
      <c r="AO29" s="121"/>
      <c r="AP29" s="288">
        <f>SUM(Sheet1!J29)</f>
        <v>0</v>
      </c>
    </row>
    <row r="30" spans="1:42" ht="12">
      <c r="A30" s="31" t="s">
        <v>208</v>
      </c>
      <c r="B30" s="31" t="s">
        <v>287</v>
      </c>
      <c r="C30" s="38"/>
      <c r="D30" s="54">
        <f t="shared" si="3"/>
        <v>0</v>
      </c>
      <c r="E30" s="54">
        <f t="shared" si="4"/>
        <v>0</v>
      </c>
      <c r="F30" s="38"/>
      <c r="G30" s="38"/>
      <c r="H30" s="71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67"/>
      <c r="Z30" s="54">
        <f>SUM('AC-SVC'!C30)*Z$7</f>
        <v>0</v>
      </c>
      <c r="AA30" s="54">
        <f>SUM('AC-SVC'!E30)</f>
        <v>0</v>
      </c>
      <c r="AB30" s="54">
        <f>SUM('AC-SVC'!H30)</f>
        <v>0</v>
      </c>
      <c r="AC30" s="54">
        <f>SUM('AC-SVC'!K30)</f>
        <v>0</v>
      </c>
      <c r="AD30" s="54">
        <f>SUM('AC-SVC'!N30)</f>
        <v>0</v>
      </c>
      <c r="AE30" s="54">
        <f>SUM('AC-SVC'!P30)*AE$7</f>
        <v>0</v>
      </c>
      <c r="AF30" s="54">
        <f>SUM(PT!D30)</f>
        <v>0</v>
      </c>
      <c r="AG30" s="54">
        <f>SUM(CCLC!D30)</f>
        <v>0</v>
      </c>
      <c r="AH30" s="54">
        <f>SUM(FC!E30)</f>
        <v>0</v>
      </c>
      <c r="AI30" s="54">
        <v>0</v>
      </c>
      <c r="AJ30" s="54">
        <f>SUM(FS!E30)</f>
        <v>0</v>
      </c>
      <c r="AK30" s="54">
        <f>SUM(IT!E30)</f>
        <v>0</v>
      </c>
      <c r="AL30" s="67"/>
      <c r="AM30" s="60">
        <f t="shared" si="2"/>
        <v>0</v>
      </c>
      <c r="AO30" s="121"/>
      <c r="AP30" s="288">
        <f>SUM(Sheet1!J30)</f>
        <v>0</v>
      </c>
    </row>
    <row r="31" spans="1:42" ht="12">
      <c r="A31" s="31" t="s">
        <v>207</v>
      </c>
      <c r="B31" s="31" t="s">
        <v>288</v>
      </c>
      <c r="C31" s="38"/>
      <c r="D31" s="54">
        <f t="shared" si="3"/>
        <v>0</v>
      </c>
      <c r="E31" s="54">
        <f t="shared" si="4"/>
        <v>0</v>
      </c>
      <c r="F31" s="38"/>
      <c r="G31" s="38"/>
      <c r="H31" s="71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67"/>
      <c r="Z31" s="54">
        <f>SUM('AC-SVC'!C31)*Z$7</f>
        <v>0</v>
      </c>
      <c r="AA31" s="54">
        <f>SUM('AC-SVC'!E31)</f>
        <v>0</v>
      </c>
      <c r="AB31" s="54">
        <f>SUM('AC-SVC'!H31)</f>
        <v>0</v>
      </c>
      <c r="AC31" s="54">
        <f>SUM('AC-SVC'!K31)</f>
        <v>0</v>
      </c>
      <c r="AD31" s="54">
        <f>SUM('AC-SVC'!N31)</f>
        <v>0</v>
      </c>
      <c r="AE31" s="54">
        <f>SUM('AC-SVC'!P31)*AE$7</f>
        <v>0</v>
      </c>
      <c r="AF31" s="54">
        <f>SUM(PT!D31)</f>
        <v>0</v>
      </c>
      <c r="AG31" s="54">
        <f>SUM(CCLC!D31)</f>
        <v>0</v>
      </c>
      <c r="AH31" s="54">
        <f>SUM(FC!E31)</f>
        <v>0</v>
      </c>
      <c r="AI31" s="54">
        <v>0</v>
      </c>
      <c r="AJ31" s="54">
        <f>SUM(FS!E31)</f>
        <v>0</v>
      </c>
      <c r="AK31" s="54">
        <f>SUM(IT!E31)</f>
        <v>0</v>
      </c>
      <c r="AL31" s="67"/>
      <c r="AM31" s="60">
        <f t="shared" si="2"/>
        <v>0</v>
      </c>
      <c r="AO31" s="121"/>
      <c r="AP31" s="288">
        <f>SUM(Sheet1!J31)</f>
        <v>1.0040094339622643</v>
      </c>
    </row>
    <row r="32" spans="1:42" ht="12">
      <c r="A32" s="31" t="s">
        <v>209</v>
      </c>
      <c r="B32" s="31" t="s">
        <v>210</v>
      </c>
      <c r="C32" s="38"/>
      <c r="D32" s="54">
        <f t="shared" si="3"/>
        <v>0</v>
      </c>
      <c r="E32" s="54">
        <f t="shared" si="4"/>
        <v>0</v>
      </c>
      <c r="F32" s="38"/>
      <c r="G32" s="38"/>
      <c r="H32" s="71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67"/>
      <c r="Z32" s="54">
        <f>SUM('AC-SVC'!C32)*Z$7</f>
        <v>0</v>
      </c>
      <c r="AA32" s="54">
        <f>SUM('AC-SVC'!E32)</f>
        <v>0</v>
      </c>
      <c r="AB32" s="54">
        <f>SUM('AC-SVC'!H32)</f>
        <v>0</v>
      </c>
      <c r="AC32" s="54">
        <f>SUM('AC-SVC'!K32)</f>
        <v>0</v>
      </c>
      <c r="AD32" s="54">
        <f>SUM('AC-SVC'!N32)</f>
        <v>0</v>
      </c>
      <c r="AE32" s="54">
        <f>SUM('AC-SVC'!P32)*AE$7</f>
        <v>0</v>
      </c>
      <c r="AF32" s="54">
        <f>SUM(PT!D32)</f>
        <v>0</v>
      </c>
      <c r="AG32" s="54">
        <f>SUM(CCLC!D32)</f>
        <v>0</v>
      </c>
      <c r="AH32" s="54">
        <f>SUM(FC!E32)</f>
        <v>0</v>
      </c>
      <c r="AI32" s="54">
        <v>0</v>
      </c>
      <c r="AJ32" s="54">
        <f>SUM(FS!E32)</f>
        <v>0</v>
      </c>
      <c r="AK32" s="54">
        <f>SUM(IT!E32)</f>
        <v>0</v>
      </c>
      <c r="AL32" s="67"/>
      <c r="AM32" s="60">
        <f t="shared" si="2"/>
        <v>0</v>
      </c>
      <c r="AO32" s="121"/>
      <c r="AP32" s="288">
        <f>SUM(Sheet1!J32)</f>
        <v>0</v>
      </c>
    </row>
    <row r="33" spans="1:42" ht="12">
      <c r="A33" s="31" t="s">
        <v>213</v>
      </c>
      <c r="B33" s="31" t="s">
        <v>214</v>
      </c>
      <c r="C33" s="38">
        <v>10000</v>
      </c>
      <c r="D33" s="54">
        <f t="shared" si="3"/>
        <v>0</v>
      </c>
      <c r="E33" s="54">
        <f t="shared" si="4"/>
        <v>0</v>
      </c>
      <c r="F33" s="38"/>
      <c r="G33" s="38"/>
      <c r="H33" s="71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67"/>
      <c r="Z33" s="54">
        <f>SUM('AC-SVC'!C33)*Z$7</f>
        <v>0</v>
      </c>
      <c r="AA33" s="54">
        <f>SUM('AC-SVC'!E33)</f>
        <v>0</v>
      </c>
      <c r="AB33" s="54">
        <f>SUM('AC-SVC'!H33)</f>
        <v>0</v>
      </c>
      <c r="AC33" s="54">
        <f>SUM('AC-SVC'!K33)</f>
        <v>0</v>
      </c>
      <c r="AD33" s="54">
        <f>SUM('AC-SVC'!N33)</f>
        <v>0</v>
      </c>
      <c r="AE33" s="54">
        <f>SUM('AC-SVC'!P33)*AE$7</f>
        <v>0</v>
      </c>
      <c r="AF33" s="54">
        <f>SUM(PT!D33)</f>
        <v>0</v>
      </c>
      <c r="AG33" s="54">
        <f>SUM(CCLC!D33)</f>
        <v>0</v>
      </c>
      <c r="AH33" s="54">
        <f>SUM(FC!E33)</f>
        <v>0</v>
      </c>
      <c r="AI33" s="54">
        <v>0</v>
      </c>
      <c r="AJ33" s="54">
        <f>SUM(FS!E33)</f>
        <v>0</v>
      </c>
      <c r="AK33" s="54">
        <f>SUM(IT!E33)</f>
        <v>0</v>
      </c>
      <c r="AL33" s="67"/>
      <c r="AM33" s="60">
        <f t="shared" si="2"/>
        <v>10000</v>
      </c>
      <c r="AO33" s="121"/>
      <c r="AP33" s="288">
        <f>SUM(Sheet1!J33)</f>
        <v>0</v>
      </c>
    </row>
    <row r="34" spans="1:42" ht="12">
      <c r="A34" s="31" t="s">
        <v>212</v>
      </c>
      <c r="B34" s="31" t="s">
        <v>289</v>
      </c>
      <c r="C34" s="38"/>
      <c r="D34" s="54">
        <f t="shared" si="3"/>
        <v>0</v>
      </c>
      <c r="E34" s="54">
        <f t="shared" si="4"/>
        <v>0</v>
      </c>
      <c r="F34" s="38"/>
      <c r="G34" s="38"/>
      <c r="H34" s="71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67"/>
      <c r="Z34" s="54">
        <f>SUM('AC-SVC'!C34)*Z$7</f>
        <v>0</v>
      </c>
      <c r="AA34" s="54">
        <f>SUM('AC-SVC'!E34)</f>
        <v>0</v>
      </c>
      <c r="AB34" s="54">
        <f>SUM('AC-SVC'!H34)</f>
        <v>0</v>
      </c>
      <c r="AC34" s="54">
        <f>SUM('AC-SVC'!K34)</f>
        <v>0</v>
      </c>
      <c r="AD34" s="54">
        <f>SUM('AC-SVC'!N34)</f>
        <v>0</v>
      </c>
      <c r="AE34" s="54">
        <f>SUM('AC-SVC'!P34)*AE$7</f>
        <v>0</v>
      </c>
      <c r="AF34" s="54">
        <f>SUM(PT!D34)</f>
        <v>0</v>
      </c>
      <c r="AG34" s="54">
        <f>SUM(CCLC!D34)</f>
        <v>0</v>
      </c>
      <c r="AH34" s="54">
        <f>SUM(FC!E34)</f>
        <v>0</v>
      </c>
      <c r="AI34" s="54">
        <v>0</v>
      </c>
      <c r="AJ34" s="54">
        <f>SUM(FS!E34)</f>
        <v>0</v>
      </c>
      <c r="AK34" s="54">
        <f>SUM(IT!E34)</f>
        <v>0</v>
      </c>
      <c r="AL34" s="67"/>
      <c r="AM34" s="60">
        <f t="shared" si="2"/>
        <v>0</v>
      </c>
      <c r="AO34" s="121"/>
      <c r="AP34" s="288">
        <f>SUM(Sheet1!J34)</f>
        <v>0</v>
      </c>
    </row>
    <row r="35" spans="1:42" ht="12">
      <c r="A35" s="31" t="s">
        <v>211</v>
      </c>
      <c r="B35" s="31" t="s">
        <v>290</v>
      </c>
      <c r="C35" s="38"/>
      <c r="D35" s="54">
        <f t="shared" si="3"/>
        <v>0</v>
      </c>
      <c r="E35" s="54">
        <f t="shared" si="4"/>
        <v>0</v>
      </c>
      <c r="F35" s="38"/>
      <c r="G35" s="38"/>
      <c r="H35" s="71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67"/>
      <c r="Z35" s="54">
        <f>SUM('AC-SVC'!C35)*Z$7</f>
        <v>0</v>
      </c>
      <c r="AA35" s="54">
        <f>SUM('AC-SVC'!E35)</f>
        <v>0</v>
      </c>
      <c r="AB35" s="54">
        <f>SUM('AC-SVC'!H35)</f>
        <v>0</v>
      </c>
      <c r="AC35" s="54">
        <f>SUM('AC-SVC'!K35)</f>
        <v>0</v>
      </c>
      <c r="AD35" s="54">
        <f>SUM('AC-SVC'!N35)</f>
        <v>0</v>
      </c>
      <c r="AE35" s="54">
        <f>SUM('AC-SVC'!P35)*AE$7</f>
        <v>0</v>
      </c>
      <c r="AF35" s="54">
        <f>SUM(PT!D35)</f>
        <v>0</v>
      </c>
      <c r="AG35" s="54">
        <f>SUM(CCLC!D35)</f>
        <v>0</v>
      </c>
      <c r="AH35" s="54">
        <f>SUM(FC!E35)</f>
        <v>0</v>
      </c>
      <c r="AI35" s="54">
        <v>0</v>
      </c>
      <c r="AJ35" s="54">
        <f>SUM(FS!E35)</f>
        <v>0</v>
      </c>
      <c r="AK35" s="54">
        <f>SUM(IT!E35)</f>
        <v>0</v>
      </c>
      <c r="AL35" s="67"/>
      <c r="AM35" s="60">
        <f t="shared" si="2"/>
        <v>0</v>
      </c>
      <c r="AO35" s="121"/>
      <c r="AP35" s="288">
        <f>SUM(Sheet1!J35)</f>
        <v>594.26405660377361</v>
      </c>
    </row>
    <row r="36" spans="1:42" ht="12">
      <c r="A36" s="31" t="s">
        <v>215</v>
      </c>
      <c r="B36" s="31" t="s">
        <v>291</v>
      </c>
      <c r="C36" s="38"/>
      <c r="D36" s="54">
        <f t="shared" si="3"/>
        <v>0</v>
      </c>
      <c r="E36" s="54">
        <f t="shared" si="4"/>
        <v>0</v>
      </c>
      <c r="F36" s="38"/>
      <c r="G36" s="38"/>
      <c r="H36" s="71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67"/>
      <c r="Z36" s="54">
        <f>SUM('AC-SVC'!C36)*Z$7</f>
        <v>0</v>
      </c>
      <c r="AA36" s="54">
        <f>SUM('AC-SVC'!E36)</f>
        <v>0</v>
      </c>
      <c r="AB36" s="54">
        <f>SUM('AC-SVC'!H36)</f>
        <v>0</v>
      </c>
      <c r="AC36" s="54">
        <f>SUM('AC-SVC'!K36)</f>
        <v>0</v>
      </c>
      <c r="AD36" s="54">
        <f>SUM('AC-SVC'!N36)</f>
        <v>0</v>
      </c>
      <c r="AE36" s="54">
        <f>SUM('AC-SVC'!P36)*AE$7</f>
        <v>0</v>
      </c>
      <c r="AF36" s="54">
        <f>SUM(PT!D36)</f>
        <v>0</v>
      </c>
      <c r="AG36" s="54">
        <f>SUM(CCLC!D36)</f>
        <v>0</v>
      </c>
      <c r="AH36" s="54">
        <f>SUM(FC!E36)</f>
        <v>0</v>
      </c>
      <c r="AI36" s="54">
        <v>0</v>
      </c>
      <c r="AJ36" s="54">
        <f>SUM(FS!E36)</f>
        <v>0</v>
      </c>
      <c r="AK36" s="54">
        <f>SUM(IT!E36)</f>
        <v>0</v>
      </c>
      <c r="AL36" s="67"/>
      <c r="AM36" s="60">
        <f t="shared" si="2"/>
        <v>0</v>
      </c>
      <c r="AO36" s="121"/>
      <c r="AP36" s="288">
        <f>SUM(Sheet1!J36)</f>
        <v>0</v>
      </c>
    </row>
    <row r="37" spans="1:42" ht="12">
      <c r="A37" s="31" t="s">
        <v>216</v>
      </c>
      <c r="B37" s="31" t="s">
        <v>292</v>
      </c>
      <c r="C37" s="39"/>
      <c r="D37" s="39">
        <f t="shared" si="3"/>
        <v>0</v>
      </c>
      <c r="E37" s="39">
        <f t="shared" si="4"/>
        <v>0</v>
      </c>
      <c r="F37" s="39"/>
      <c r="G37" s="39"/>
      <c r="H37" s="7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67"/>
      <c r="Z37" s="39">
        <f>SUM('AC-SVC'!C37)*Z$7</f>
        <v>0</v>
      </c>
      <c r="AA37" s="39">
        <f>SUM('AC-SVC'!E37)</f>
        <v>0</v>
      </c>
      <c r="AB37" s="39">
        <f>SUM('AC-SVC'!H37)</f>
        <v>0</v>
      </c>
      <c r="AC37" s="39">
        <f>SUM('AC-SVC'!K37)</f>
        <v>0</v>
      </c>
      <c r="AD37" s="39">
        <f>SUM('AC-SVC'!N37)</f>
        <v>0</v>
      </c>
      <c r="AE37" s="39">
        <f>SUM('AC-SVC'!P37)*AE$7</f>
        <v>0</v>
      </c>
      <c r="AF37" s="39">
        <f>SUM(PT!D37)</f>
        <v>0</v>
      </c>
      <c r="AG37" s="39">
        <f>SUM(CCLC!D37)</f>
        <v>0</v>
      </c>
      <c r="AH37" s="39">
        <f>SUM(FC!E37)</f>
        <v>0</v>
      </c>
      <c r="AI37" s="39">
        <v>0</v>
      </c>
      <c r="AJ37" s="39">
        <f>SUM(FS!E37)</f>
        <v>0</v>
      </c>
      <c r="AK37" s="39">
        <f>SUM(IT!E37)</f>
        <v>0</v>
      </c>
      <c r="AL37" s="67"/>
      <c r="AM37" s="59">
        <f t="shared" si="2"/>
        <v>0</v>
      </c>
      <c r="AO37" s="122"/>
      <c r="AP37" s="289">
        <f>SUM(Sheet1!J37)</f>
        <v>0</v>
      </c>
    </row>
    <row r="38" spans="1:42" ht="10">
      <c r="B38" s="31" t="s">
        <v>293</v>
      </c>
      <c r="C38" s="38">
        <f>SUM(C13:C37)</f>
        <v>146275</v>
      </c>
      <c r="D38" s="38">
        <f>SUM(D13:D37)</f>
        <v>0</v>
      </c>
      <c r="E38" s="38">
        <f>SUM(E13:E37)</f>
        <v>0</v>
      </c>
      <c r="F38" s="38">
        <f>SUM(F13:F37)</f>
        <v>0</v>
      </c>
      <c r="G38" s="38">
        <f>SUM(G13:G37)</f>
        <v>0</v>
      </c>
      <c r="H38" s="71"/>
      <c r="I38" s="38">
        <f t="shared" ref="I38:X38" si="5">SUM(I13:I37)</f>
        <v>0</v>
      </c>
      <c r="J38" s="38">
        <f t="shared" si="5"/>
        <v>0</v>
      </c>
      <c r="K38" s="38">
        <f t="shared" ref="K38" si="6">SUM(K13:K37)</f>
        <v>0</v>
      </c>
      <c r="L38" s="38">
        <f t="shared" si="5"/>
        <v>0</v>
      </c>
      <c r="M38" s="38">
        <f t="shared" si="5"/>
        <v>0</v>
      </c>
      <c r="N38" s="38">
        <f t="shared" si="5"/>
        <v>0</v>
      </c>
      <c r="O38" s="38">
        <f t="shared" si="5"/>
        <v>0</v>
      </c>
      <c r="P38" s="38">
        <f t="shared" si="5"/>
        <v>0</v>
      </c>
      <c r="Q38" s="38">
        <f>SUM(Q13:Q37)</f>
        <v>0</v>
      </c>
      <c r="R38" s="38">
        <f>SUM(R13:R37)</f>
        <v>0</v>
      </c>
      <c r="S38" s="38">
        <f t="shared" si="5"/>
        <v>0</v>
      </c>
      <c r="T38" s="38">
        <f t="shared" si="5"/>
        <v>0</v>
      </c>
      <c r="U38" s="38">
        <f t="shared" si="5"/>
        <v>0</v>
      </c>
      <c r="V38" s="38">
        <f t="shared" si="5"/>
        <v>0</v>
      </c>
      <c r="W38" s="38">
        <f t="shared" si="5"/>
        <v>0</v>
      </c>
      <c r="X38" s="38">
        <f t="shared" si="5"/>
        <v>0</v>
      </c>
      <c r="Y38" s="67"/>
      <c r="Z38" s="38">
        <f t="shared" ref="Z38:AD38" si="7">+SUM(Z13:Z37)</f>
        <v>0</v>
      </c>
      <c r="AA38" s="47">
        <f t="shared" si="7"/>
        <v>0</v>
      </c>
      <c r="AB38" s="38">
        <f t="shared" si="7"/>
        <v>0</v>
      </c>
      <c r="AC38" s="38">
        <f t="shared" si="7"/>
        <v>0</v>
      </c>
      <c r="AD38" s="38">
        <f t="shared" si="7"/>
        <v>800</v>
      </c>
      <c r="AE38" s="38">
        <f t="shared" ref="AE38" si="8">+SUM(AE13:AE37)</f>
        <v>0</v>
      </c>
      <c r="AF38" s="38">
        <f>+SUM(AF13:AF37)</f>
        <v>33750</v>
      </c>
      <c r="AG38" s="38">
        <f>+SUM(AG13:AG37)</f>
        <v>0</v>
      </c>
      <c r="AH38" s="38">
        <f>+SUM(AH13:AH37)</f>
        <v>0</v>
      </c>
      <c r="AI38" s="38">
        <f t="shared" ref="AI38" si="9">+SUM(AI13:AI37)</f>
        <v>0</v>
      </c>
      <c r="AJ38" s="38">
        <f>+SUM(AJ13:AJ37)</f>
        <v>34400</v>
      </c>
      <c r="AK38" s="38">
        <f t="shared" ref="AK38" si="10">+SUM(AK13:AK37)</f>
        <v>0</v>
      </c>
      <c r="AL38" s="67"/>
      <c r="AM38" s="40">
        <f>SUM(AM13:AM37)</f>
        <v>215225</v>
      </c>
      <c r="AO38" s="120">
        <f>SUM(AO13:AO37)</f>
        <v>94081.95</v>
      </c>
      <c r="AP38" s="278">
        <f>SUM(AP13:AP37)</f>
        <v>128429.20542452831</v>
      </c>
    </row>
    <row r="39" spans="1:42">
      <c r="C39" s="38"/>
      <c r="D39" s="38"/>
      <c r="E39" s="38"/>
      <c r="F39" s="38"/>
      <c r="G39" s="38"/>
      <c r="H39" s="71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67"/>
      <c r="Z39" s="38"/>
      <c r="AA39" s="47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67"/>
      <c r="AM39" s="50"/>
      <c r="AO39" s="120"/>
    </row>
    <row r="40" spans="1:42">
      <c r="A40" s="31" t="s">
        <v>294</v>
      </c>
      <c r="C40" s="38"/>
      <c r="D40" s="38"/>
      <c r="E40" s="38"/>
      <c r="F40" s="38"/>
      <c r="G40" s="38"/>
      <c r="H40" s="71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67"/>
      <c r="Z40" s="38"/>
      <c r="AA40" s="47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67"/>
      <c r="AM40" s="50"/>
      <c r="AO40" s="120"/>
    </row>
    <row r="41" spans="1:42" ht="12">
      <c r="A41" s="31" t="s">
        <v>217</v>
      </c>
      <c r="B41" s="31" t="s">
        <v>295</v>
      </c>
      <c r="C41" s="38">
        <f>SUM(SUM!B6*SUM!F2)</f>
        <v>1833090</v>
      </c>
      <c r="D41" s="54">
        <f t="shared" ref="D41:D48" si="11">SUM(I41:K41)</f>
        <v>0</v>
      </c>
      <c r="E41" s="54">
        <f t="shared" ref="E41:E48" si="12">+SUM(L41:X41)</f>
        <v>0</v>
      </c>
      <c r="F41" s="38"/>
      <c r="G41" s="38"/>
      <c r="H41" s="71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67"/>
      <c r="Z41" s="54">
        <f>SUM('AC-SVC'!C41)*Z$7</f>
        <v>0</v>
      </c>
      <c r="AA41" s="54">
        <f>SUM('AC-SVC'!E41)</f>
        <v>0</v>
      </c>
      <c r="AB41" s="54">
        <f>SUM('AC-SVC'!H41)</f>
        <v>0</v>
      </c>
      <c r="AC41" s="54">
        <f>SUM('AC-SVC'!K41)</f>
        <v>0</v>
      </c>
      <c r="AD41" s="54">
        <f>SUM('AC-SVC'!N41)</f>
        <v>0</v>
      </c>
      <c r="AE41" s="54">
        <f>SUM('AC-SVC'!P41)*AE$7</f>
        <v>0</v>
      </c>
      <c r="AF41" s="54">
        <f>SUM(PT!D41)</f>
        <v>0</v>
      </c>
      <c r="AG41" s="54">
        <f>SUM(CCLC!D41)</f>
        <v>0</v>
      </c>
      <c r="AH41" s="54">
        <f>SUM(FC!E41)</f>
        <v>0</v>
      </c>
      <c r="AI41" s="54">
        <v>0</v>
      </c>
      <c r="AJ41" s="54">
        <f>SUM(FS!E41)</f>
        <v>0</v>
      </c>
      <c r="AK41" s="54">
        <f>SUM(IT!E41)</f>
        <v>0</v>
      </c>
      <c r="AL41" s="67"/>
      <c r="AM41" s="60">
        <f t="shared" ref="AM41:AM48" si="13">SUM(C41:G41)+SUM(Z41:AK41)</f>
        <v>1833090</v>
      </c>
      <c r="AO41" s="121">
        <v>1253616</v>
      </c>
      <c r="AP41" s="288">
        <f>SUM(Sheet1!J41)</f>
        <v>1922464.4858490564</v>
      </c>
    </row>
    <row r="42" spans="1:42" ht="12">
      <c r="A42" s="31" t="s">
        <v>218</v>
      </c>
      <c r="B42" s="31" t="s">
        <v>219</v>
      </c>
      <c r="C42" s="38"/>
      <c r="D42" s="54">
        <f t="shared" si="11"/>
        <v>0</v>
      </c>
      <c r="E42" s="54">
        <f t="shared" si="12"/>
        <v>0</v>
      </c>
      <c r="F42" s="38"/>
      <c r="G42" s="38"/>
      <c r="H42" s="71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67"/>
      <c r="Z42" s="54">
        <f>SUM('AC-SVC'!C42)*Z$7</f>
        <v>0</v>
      </c>
      <c r="AA42" s="54">
        <f>SUM('AC-SVC'!E42)</f>
        <v>0</v>
      </c>
      <c r="AB42" s="54">
        <f>SUM('AC-SVC'!H42)</f>
        <v>0</v>
      </c>
      <c r="AC42" s="54">
        <f>SUM('AC-SVC'!K42)</f>
        <v>0</v>
      </c>
      <c r="AD42" s="54">
        <f>SUM('AC-SVC'!N42)</f>
        <v>0</v>
      </c>
      <c r="AE42" s="54">
        <f>SUM('AC-SVC'!P42)*AE$7</f>
        <v>0</v>
      </c>
      <c r="AF42" s="54">
        <f>SUM(PT!D42)</f>
        <v>0</v>
      </c>
      <c r="AG42" s="54">
        <f>SUM(CCLC!D42)</f>
        <v>0</v>
      </c>
      <c r="AH42" s="54">
        <f>SUM(FC!E42)</f>
        <v>0</v>
      </c>
      <c r="AI42" s="54">
        <v>0</v>
      </c>
      <c r="AJ42" s="54">
        <f>SUM(FS!E42)</f>
        <v>0</v>
      </c>
      <c r="AK42" s="54">
        <f>SUM(IT!E42)</f>
        <v>0</v>
      </c>
      <c r="AL42" s="67"/>
      <c r="AM42" s="60">
        <f t="shared" si="13"/>
        <v>0</v>
      </c>
      <c r="AO42" s="121"/>
      <c r="AP42" s="288">
        <f>SUM(Sheet1!J42)</f>
        <v>25478.832594339627</v>
      </c>
    </row>
    <row r="43" spans="1:42" ht="12">
      <c r="A43" s="31" t="s">
        <v>220</v>
      </c>
      <c r="B43" s="31" t="s">
        <v>221</v>
      </c>
      <c r="C43" s="38"/>
      <c r="D43" s="54">
        <f t="shared" si="11"/>
        <v>0</v>
      </c>
      <c r="E43" s="54">
        <f t="shared" si="12"/>
        <v>0</v>
      </c>
      <c r="F43" s="38"/>
      <c r="G43" s="38"/>
      <c r="H43" s="71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67"/>
      <c r="Z43" s="54">
        <f>SUM('AC-SVC'!C43)*Z$7</f>
        <v>0</v>
      </c>
      <c r="AA43" s="54">
        <f>SUM('AC-SVC'!E43)</f>
        <v>0</v>
      </c>
      <c r="AB43" s="54">
        <f>SUM('AC-SVC'!H43)</f>
        <v>0</v>
      </c>
      <c r="AC43" s="54">
        <f>SUM('AC-SVC'!K43)</f>
        <v>0</v>
      </c>
      <c r="AD43" s="54">
        <f>SUM('AC-SVC'!N43)</f>
        <v>0</v>
      </c>
      <c r="AE43" s="54">
        <f>SUM('AC-SVC'!P43)*AE$7</f>
        <v>0</v>
      </c>
      <c r="AF43" s="54">
        <f>SUM(PT!D43)</f>
        <v>0</v>
      </c>
      <c r="AG43" s="54">
        <f>SUM(CCLC!D43)</f>
        <v>0</v>
      </c>
      <c r="AH43" s="54">
        <f>SUM(FC!E43)</f>
        <v>0</v>
      </c>
      <c r="AI43" s="54">
        <v>0</v>
      </c>
      <c r="AJ43" s="54">
        <f>SUM(FS!E43)</f>
        <v>0</v>
      </c>
      <c r="AK43" s="54">
        <f>SUM(IT!E43)</f>
        <v>0</v>
      </c>
      <c r="AL43" s="67"/>
      <c r="AM43" s="60">
        <f t="shared" si="13"/>
        <v>0</v>
      </c>
      <c r="AO43" s="121"/>
      <c r="AP43" s="288">
        <f>SUM(Sheet1!J43)</f>
        <v>0</v>
      </c>
    </row>
    <row r="44" spans="1:42" ht="12">
      <c r="A44" s="31" t="s">
        <v>222</v>
      </c>
      <c r="B44" s="31" t="s">
        <v>296</v>
      </c>
      <c r="C44" s="38"/>
      <c r="D44" s="54">
        <f t="shared" si="11"/>
        <v>0</v>
      </c>
      <c r="E44" s="54">
        <f t="shared" si="12"/>
        <v>0</v>
      </c>
      <c r="F44" s="38"/>
      <c r="G44" s="38"/>
      <c r="H44" s="71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67"/>
      <c r="Z44" s="54">
        <f>SUM('AC-SVC'!C44)*Z$7</f>
        <v>0</v>
      </c>
      <c r="AA44" s="54">
        <f>SUM('AC-SVC'!E44)</f>
        <v>0</v>
      </c>
      <c r="AB44" s="54">
        <f>SUM('AC-SVC'!H44)</f>
        <v>0</v>
      </c>
      <c r="AC44" s="54">
        <f>SUM('AC-SVC'!K44)</f>
        <v>0</v>
      </c>
      <c r="AD44" s="54">
        <f>SUM('AC-SVC'!N44)</f>
        <v>0</v>
      </c>
      <c r="AE44" s="54">
        <f>SUM('AC-SVC'!P44)*AE$7</f>
        <v>0</v>
      </c>
      <c r="AF44" s="54">
        <f>SUM(PT!D44)</f>
        <v>0</v>
      </c>
      <c r="AG44" s="54">
        <f>SUM(CCLC!D44)</f>
        <v>0</v>
      </c>
      <c r="AH44" s="54">
        <f>SUM(FC!E44)</f>
        <v>0</v>
      </c>
      <c r="AI44" s="54">
        <v>0</v>
      </c>
      <c r="AJ44" s="54">
        <f>SUM(FS!E44)</f>
        <v>0</v>
      </c>
      <c r="AK44" s="54">
        <f>SUM(IT!E44)</f>
        <v>0</v>
      </c>
      <c r="AL44" s="67"/>
      <c r="AM44" s="60">
        <f t="shared" si="13"/>
        <v>0</v>
      </c>
      <c r="AO44" s="121"/>
      <c r="AP44" s="288">
        <f>SUM(Sheet1!J44)</f>
        <v>0</v>
      </c>
    </row>
    <row r="45" spans="1:42" ht="12">
      <c r="A45" s="31" t="s">
        <v>223</v>
      </c>
      <c r="B45" s="31" t="s">
        <v>224</v>
      </c>
      <c r="C45" s="38"/>
      <c r="D45" s="54">
        <f t="shared" si="11"/>
        <v>0</v>
      </c>
      <c r="E45" s="54">
        <f t="shared" si="12"/>
        <v>0</v>
      </c>
      <c r="F45" s="38"/>
      <c r="G45" s="38"/>
      <c r="H45" s="71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67"/>
      <c r="Z45" s="54">
        <f>SUM('AC-SVC'!C45)*Z$7</f>
        <v>0</v>
      </c>
      <c r="AA45" s="54">
        <f>SUM('AC-SVC'!E45)</f>
        <v>0</v>
      </c>
      <c r="AB45" s="54">
        <f>SUM('AC-SVC'!H45)</f>
        <v>0</v>
      </c>
      <c r="AC45" s="54">
        <f>SUM('AC-SVC'!K45)</f>
        <v>0</v>
      </c>
      <c r="AD45" s="54">
        <f>SUM('AC-SVC'!N45)</f>
        <v>0</v>
      </c>
      <c r="AE45" s="54">
        <f>SUM('AC-SVC'!P45)*AE$7</f>
        <v>0</v>
      </c>
      <c r="AF45" s="54">
        <f>SUM(PT!D45)</f>
        <v>0</v>
      </c>
      <c r="AG45" s="54">
        <f>SUM(CCLC!D45)</f>
        <v>0</v>
      </c>
      <c r="AH45" s="54">
        <f>SUM(FC!E45)</f>
        <v>0</v>
      </c>
      <c r="AI45" s="54">
        <v>0</v>
      </c>
      <c r="AJ45" s="54">
        <f>SUM(FS!E45)</f>
        <v>0</v>
      </c>
      <c r="AK45" s="54">
        <f>SUM(IT!E45)</f>
        <v>0</v>
      </c>
      <c r="AL45" s="67"/>
      <c r="AM45" s="60">
        <f t="shared" si="13"/>
        <v>0</v>
      </c>
      <c r="AO45" s="121"/>
      <c r="AP45" s="288">
        <f>SUM(Sheet1!J45)</f>
        <v>0</v>
      </c>
    </row>
    <row r="46" spans="1:42" ht="12">
      <c r="A46" s="31" t="s">
        <v>225</v>
      </c>
      <c r="B46" s="31" t="s">
        <v>226</v>
      </c>
      <c r="C46" s="38"/>
      <c r="D46" s="54">
        <f t="shared" si="11"/>
        <v>0</v>
      </c>
      <c r="E46" s="54">
        <f t="shared" si="12"/>
        <v>0</v>
      </c>
      <c r="F46" s="38"/>
      <c r="G46" s="38"/>
      <c r="H46" s="71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67"/>
      <c r="Z46" s="54">
        <f>SUM('AC-SVC'!C46)*Z$7</f>
        <v>0</v>
      </c>
      <c r="AA46" s="54">
        <f>SUM('AC-SVC'!E46)</f>
        <v>0</v>
      </c>
      <c r="AB46" s="54">
        <f>SUM('AC-SVC'!H46)</f>
        <v>0</v>
      </c>
      <c r="AC46" s="54">
        <f>SUM('AC-SVC'!K46)</f>
        <v>0</v>
      </c>
      <c r="AD46" s="54">
        <f>SUM('AC-SVC'!N46)</f>
        <v>0</v>
      </c>
      <c r="AE46" s="54">
        <f>SUM('AC-SVC'!P46)*AE$7</f>
        <v>0</v>
      </c>
      <c r="AF46" s="54">
        <f>SUM(PT!D46)</f>
        <v>0</v>
      </c>
      <c r="AG46" s="54">
        <f>SUM(CCLC!D46)</f>
        <v>0</v>
      </c>
      <c r="AH46" s="54">
        <f>SUM(FC!E46)</f>
        <v>0</v>
      </c>
      <c r="AI46" s="54">
        <v>0</v>
      </c>
      <c r="AJ46" s="54">
        <f>SUM(FS!E46)</f>
        <v>0</v>
      </c>
      <c r="AK46" s="54">
        <f>SUM(IT!E46)</f>
        <v>0</v>
      </c>
      <c r="AL46" s="67"/>
      <c r="AM46" s="60">
        <f t="shared" si="13"/>
        <v>0</v>
      </c>
      <c r="AO46" s="121"/>
      <c r="AP46" s="288">
        <f>SUM(Sheet1!J46)</f>
        <v>0</v>
      </c>
    </row>
    <row r="47" spans="1:42" ht="12">
      <c r="A47" s="31" t="s">
        <v>227</v>
      </c>
      <c r="B47" s="31" t="s">
        <v>297</v>
      </c>
      <c r="C47" s="38"/>
      <c r="D47" s="54">
        <f t="shared" si="11"/>
        <v>0</v>
      </c>
      <c r="E47" s="54">
        <f t="shared" si="12"/>
        <v>0</v>
      </c>
      <c r="F47" s="38"/>
      <c r="G47" s="38"/>
      <c r="H47" s="71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67"/>
      <c r="Z47" s="54">
        <f>SUM('AC-SVC'!C47)*Z$7</f>
        <v>0</v>
      </c>
      <c r="AA47" s="54">
        <f>SUM('AC-SVC'!E47)</f>
        <v>0</v>
      </c>
      <c r="AB47" s="54">
        <f>SUM('AC-SVC'!H47)</f>
        <v>0</v>
      </c>
      <c r="AC47" s="54">
        <f>SUM('AC-SVC'!K47)</f>
        <v>0</v>
      </c>
      <c r="AD47" s="54">
        <f>SUM('AC-SVC'!N47)</f>
        <v>0</v>
      </c>
      <c r="AE47" s="54">
        <f>SUM('AC-SVC'!P47)*AE$7</f>
        <v>0</v>
      </c>
      <c r="AF47" s="54">
        <f>SUM(PT!D47)</f>
        <v>0</v>
      </c>
      <c r="AG47" s="54">
        <f>SUM(CCLC!D47)</f>
        <v>0</v>
      </c>
      <c r="AH47" s="54">
        <f>SUM(FC!E47)</f>
        <v>0</v>
      </c>
      <c r="AI47" s="54">
        <v>0</v>
      </c>
      <c r="AJ47" s="54">
        <f>SUM(FS!E47)</f>
        <v>0</v>
      </c>
      <c r="AK47" s="54">
        <f>SUM(IT!E47)</f>
        <v>0</v>
      </c>
      <c r="AL47" s="67"/>
      <c r="AM47" s="60">
        <f t="shared" si="13"/>
        <v>0</v>
      </c>
      <c r="AO47" s="121"/>
      <c r="AP47" s="288">
        <f>SUM(Sheet1!J47)</f>
        <v>0</v>
      </c>
    </row>
    <row r="48" spans="1:42" ht="12">
      <c r="A48" s="31" t="s">
        <v>228</v>
      </c>
      <c r="B48" s="31" t="s">
        <v>298</v>
      </c>
      <c r="C48" s="39"/>
      <c r="D48" s="39">
        <f t="shared" si="11"/>
        <v>0</v>
      </c>
      <c r="E48" s="39">
        <f t="shared" si="12"/>
        <v>0</v>
      </c>
      <c r="F48" s="39"/>
      <c r="G48" s="39"/>
      <c r="H48" s="7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7"/>
      <c r="Z48" s="39">
        <f>SUM('AC-SVC'!C48)*Z$7</f>
        <v>0</v>
      </c>
      <c r="AA48" s="39">
        <f>SUM('AC-SVC'!E48)</f>
        <v>0</v>
      </c>
      <c r="AB48" s="39">
        <f>SUM('AC-SVC'!H48)</f>
        <v>0</v>
      </c>
      <c r="AC48" s="39">
        <f>SUM('AC-SVC'!K48)</f>
        <v>0</v>
      </c>
      <c r="AD48" s="39">
        <f>SUM('AC-SVC'!N48)</f>
        <v>0</v>
      </c>
      <c r="AE48" s="39">
        <f>SUM('AC-SVC'!P48)*AE$7</f>
        <v>0</v>
      </c>
      <c r="AF48" s="39">
        <f>SUM(PT!D48)</f>
        <v>0</v>
      </c>
      <c r="AG48" s="39">
        <f>SUM(CCLC!D48)</f>
        <v>0</v>
      </c>
      <c r="AH48" s="39">
        <f>SUM(FC!E48)</f>
        <v>0</v>
      </c>
      <c r="AI48" s="39">
        <v>0</v>
      </c>
      <c r="AJ48" s="39">
        <f>SUM(FS!E48)</f>
        <v>0</v>
      </c>
      <c r="AK48" s="39">
        <f>SUM(IT!E48)</f>
        <v>0</v>
      </c>
      <c r="AL48" s="67"/>
      <c r="AM48" s="59">
        <f t="shared" si="13"/>
        <v>0</v>
      </c>
      <c r="AO48" s="122"/>
      <c r="AP48" s="289">
        <f>SUM(Sheet1!J48)</f>
        <v>0</v>
      </c>
    </row>
    <row r="49" spans="1:42" ht="10">
      <c r="B49" s="31" t="s">
        <v>299</v>
      </c>
      <c r="C49" s="38">
        <f>SUM(C41:C48)</f>
        <v>1833090</v>
      </c>
      <c r="D49" s="38">
        <f t="shared" ref="D49:G49" si="14">SUM(D41:D48)</f>
        <v>0</v>
      </c>
      <c r="E49" s="38">
        <f t="shared" si="14"/>
        <v>0</v>
      </c>
      <c r="F49" s="38">
        <f t="shared" si="14"/>
        <v>0</v>
      </c>
      <c r="G49" s="38">
        <f t="shared" si="14"/>
        <v>0</v>
      </c>
      <c r="H49" s="71"/>
      <c r="I49" s="38">
        <f t="shared" ref="I49" si="15">SUM(I41:I48)</f>
        <v>0</v>
      </c>
      <c r="J49" s="38">
        <f t="shared" ref="J49:K49" si="16">SUM(J41:J48)</f>
        <v>0</v>
      </c>
      <c r="K49" s="38">
        <f t="shared" si="16"/>
        <v>0</v>
      </c>
      <c r="L49" s="38">
        <f t="shared" ref="L49" si="17">SUM(L41:L48)</f>
        <v>0</v>
      </c>
      <c r="M49" s="38">
        <f t="shared" ref="M49" si="18">SUM(M41:M48)</f>
        <v>0</v>
      </c>
      <c r="N49" s="38">
        <f t="shared" ref="N49" si="19">SUM(N41:N48)</f>
        <v>0</v>
      </c>
      <c r="O49" s="38">
        <f t="shared" ref="O49" si="20">SUM(O41:O48)</f>
        <v>0</v>
      </c>
      <c r="P49" s="38">
        <f t="shared" ref="P49" si="21">SUM(P41:P48)</f>
        <v>0</v>
      </c>
      <c r="Q49" s="38">
        <f t="shared" ref="Q49:R49" si="22">SUM(Q41:Q48)</f>
        <v>0</v>
      </c>
      <c r="R49" s="38">
        <f t="shared" si="22"/>
        <v>0</v>
      </c>
      <c r="S49" s="38">
        <f t="shared" ref="S49" si="23">SUM(S41:S48)</f>
        <v>0</v>
      </c>
      <c r="T49" s="38">
        <f t="shared" ref="T49" si="24">SUM(T41:T48)</f>
        <v>0</v>
      </c>
      <c r="U49" s="38">
        <f t="shared" ref="U49" si="25">SUM(U41:U48)</f>
        <v>0</v>
      </c>
      <c r="V49" s="38">
        <f t="shared" ref="V49" si="26">SUM(V41:V48)</f>
        <v>0</v>
      </c>
      <c r="W49" s="38">
        <f t="shared" ref="W49" si="27">SUM(W41:W48)</f>
        <v>0</v>
      </c>
      <c r="X49" s="38">
        <f t="shared" ref="X49" si="28">SUM(X41:X48)</f>
        <v>0</v>
      </c>
      <c r="Y49" s="67"/>
      <c r="Z49" s="38">
        <f t="shared" ref="Z49:AD49" si="29">+SUM(Z41:Z48)</f>
        <v>0</v>
      </c>
      <c r="AA49" s="47">
        <f t="shared" si="29"/>
        <v>0</v>
      </c>
      <c r="AB49" s="38">
        <f t="shared" si="29"/>
        <v>0</v>
      </c>
      <c r="AC49" s="38">
        <f t="shared" si="29"/>
        <v>0</v>
      </c>
      <c r="AD49" s="38">
        <f t="shared" si="29"/>
        <v>0</v>
      </c>
      <c r="AE49" s="38">
        <f t="shared" ref="AE49" si="30">+SUM(AE41:AE48)</f>
        <v>0</v>
      </c>
      <c r="AF49" s="38">
        <f>+SUM(AF41:AF48)</f>
        <v>0</v>
      </c>
      <c r="AG49" s="38">
        <f>+SUM(AG41:AG48)</f>
        <v>0</v>
      </c>
      <c r="AH49" s="38">
        <f>+SUM(AH41:AH48)</f>
        <v>0</v>
      </c>
      <c r="AI49" s="38">
        <f t="shared" ref="AI49" si="31">+SUM(AI41:AI48)</f>
        <v>0</v>
      </c>
      <c r="AJ49" s="38">
        <f>+SUM(AJ41:AJ48)</f>
        <v>0</v>
      </c>
      <c r="AK49" s="38">
        <f t="shared" ref="AK49" si="32">+SUM(AK41:AK48)</f>
        <v>0</v>
      </c>
      <c r="AL49" s="67"/>
      <c r="AM49" s="50">
        <f>SUM(AM41:AM48)</f>
        <v>1833090</v>
      </c>
      <c r="AO49" s="120">
        <f>SUM(AO41:AO48)</f>
        <v>1253616</v>
      </c>
      <c r="AP49" s="278">
        <f>SUM(AP41:AP48)</f>
        <v>1947943.3184433961</v>
      </c>
    </row>
    <row r="50" spans="1:42">
      <c r="C50" s="38"/>
      <c r="D50" s="38"/>
      <c r="E50" s="38"/>
      <c r="F50" s="38"/>
      <c r="G50" s="38"/>
      <c r="H50" s="71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67"/>
      <c r="Z50" s="38"/>
      <c r="AA50" s="47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67"/>
      <c r="AM50" s="50"/>
      <c r="AO50" s="120"/>
    </row>
    <row r="51" spans="1:42">
      <c r="A51" s="31" t="s">
        <v>300</v>
      </c>
      <c r="C51" s="38"/>
      <c r="D51" s="38"/>
      <c r="E51" s="38"/>
      <c r="F51" s="38"/>
      <c r="G51" s="38"/>
      <c r="H51" s="71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67"/>
      <c r="Z51" s="38"/>
      <c r="AA51" s="47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67"/>
      <c r="AM51" s="50"/>
      <c r="AO51" s="120"/>
    </row>
    <row r="52" spans="1:42">
      <c r="A52" s="31" t="s">
        <v>301</v>
      </c>
      <c r="C52" s="38"/>
      <c r="D52" s="38"/>
      <c r="E52" s="38"/>
      <c r="F52" s="38"/>
      <c r="G52" s="38"/>
      <c r="H52" s="71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67"/>
      <c r="Z52" s="38"/>
      <c r="AA52" s="47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67"/>
      <c r="AM52" s="50"/>
      <c r="AO52" s="120"/>
    </row>
    <row r="53" spans="1:42" ht="12">
      <c r="A53" s="31" t="s">
        <v>229</v>
      </c>
      <c r="B53" s="31" t="s">
        <v>389</v>
      </c>
      <c r="C53" s="38">
        <f>285*SUM!B6</f>
        <v>61275</v>
      </c>
      <c r="D53" s="54">
        <f t="shared" ref="D53:D65" si="33">SUM(I53:K53)</f>
        <v>0</v>
      </c>
      <c r="E53" s="54">
        <f t="shared" ref="E53:E65" si="34">+SUM(L53:X53)</f>
        <v>0</v>
      </c>
      <c r="F53" s="38"/>
      <c r="G53" s="38"/>
      <c r="H53" s="71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67"/>
      <c r="Z53" s="54">
        <f>SUM('AC-SVC'!C53)*Z$7</f>
        <v>0</v>
      </c>
      <c r="AA53" s="54">
        <f>SUM('AC-SVC'!E53)</f>
        <v>56975</v>
      </c>
      <c r="AB53" s="54">
        <f>SUM('AC-SVC'!H53)</f>
        <v>0</v>
      </c>
      <c r="AC53" s="54">
        <f>SUM('AC-SVC'!K53)</f>
        <v>0</v>
      </c>
      <c r="AD53" s="54">
        <f>SUM('AC-SVC'!N53)</f>
        <v>0</v>
      </c>
      <c r="AE53" s="54">
        <f>SUM('AC-SVC'!P53)*AE$7</f>
        <v>0</v>
      </c>
      <c r="AF53" s="54">
        <f>SUM(PT!D53)</f>
        <v>0</v>
      </c>
      <c r="AG53" s="54">
        <f>SUM(CCLC!D53)</f>
        <v>0</v>
      </c>
      <c r="AH53" s="54">
        <f>SUM(FC!E53)</f>
        <v>0</v>
      </c>
      <c r="AI53" s="54">
        <v>0</v>
      </c>
      <c r="AJ53" s="54">
        <f>SUM(FS!E53)</f>
        <v>0</v>
      </c>
      <c r="AK53" s="54">
        <f>SUM(IT!E53)</f>
        <v>0</v>
      </c>
      <c r="AL53" s="67"/>
      <c r="AM53" s="60">
        <f t="shared" ref="AM53:AM65" si="35">SUM(C53:G53)+SUM(Z53:AK53)</f>
        <v>118250</v>
      </c>
      <c r="AO53" s="121">
        <v>0</v>
      </c>
      <c r="AP53" s="288">
        <f>SUM(Sheet1!J53)</f>
        <v>54615.790801886789</v>
      </c>
    </row>
    <row r="54" spans="1:42" ht="12">
      <c r="A54" s="31" t="s">
        <v>230</v>
      </c>
      <c r="B54" s="31" t="s">
        <v>390</v>
      </c>
      <c r="C54" s="38"/>
      <c r="D54" s="54">
        <f t="shared" si="33"/>
        <v>0</v>
      </c>
      <c r="E54" s="54">
        <f t="shared" si="34"/>
        <v>0</v>
      </c>
      <c r="F54" s="38"/>
      <c r="G54" s="38"/>
      <c r="H54" s="71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67"/>
      <c r="Z54" s="54">
        <f>SUM('AC-SVC'!C54)*Z$7</f>
        <v>0</v>
      </c>
      <c r="AA54" s="54">
        <f>SUM('AC-SVC'!E54)</f>
        <v>0</v>
      </c>
      <c r="AB54" s="54">
        <f>SUM('AC-SVC'!H54)</f>
        <v>0</v>
      </c>
      <c r="AC54" s="54">
        <f>SUM('AC-SVC'!K54)</f>
        <v>0</v>
      </c>
      <c r="AD54" s="54">
        <f>SUM('AC-SVC'!N54)</f>
        <v>0</v>
      </c>
      <c r="AE54" s="54">
        <f>SUM('AC-SVC'!P54)*AE$7</f>
        <v>0</v>
      </c>
      <c r="AF54" s="54">
        <f>SUM(PT!D54)</f>
        <v>0</v>
      </c>
      <c r="AG54" s="54">
        <f>SUM(CCLC!D54)</f>
        <v>0</v>
      </c>
      <c r="AH54" s="54">
        <f>SUM(FC!E54)</f>
        <v>0</v>
      </c>
      <c r="AI54" s="54">
        <v>0</v>
      </c>
      <c r="AJ54" s="54">
        <f>SUM(FS!E54)</f>
        <v>0</v>
      </c>
      <c r="AK54" s="54">
        <f>SUM(IT!E54)</f>
        <v>0</v>
      </c>
      <c r="AL54" s="67"/>
      <c r="AM54" s="60">
        <f t="shared" si="35"/>
        <v>0</v>
      </c>
      <c r="AO54" s="121"/>
      <c r="AP54" s="288">
        <f>SUM(Sheet1!J54)</f>
        <v>0</v>
      </c>
    </row>
    <row r="55" spans="1:42" ht="12">
      <c r="A55" s="31" t="s">
        <v>231</v>
      </c>
      <c r="B55" s="31" t="s">
        <v>391</v>
      </c>
      <c r="C55" s="38">
        <v>0</v>
      </c>
      <c r="D55" s="54">
        <f t="shared" si="33"/>
        <v>0</v>
      </c>
      <c r="E55" s="54">
        <f t="shared" si="34"/>
        <v>0</v>
      </c>
      <c r="F55" s="38"/>
      <c r="G55" s="38"/>
      <c r="H55" s="71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67"/>
      <c r="Z55" s="54">
        <f>SUM('AC-SVC'!C55)*Z$7</f>
        <v>0</v>
      </c>
      <c r="AA55" s="54">
        <f>SUM('AC-SVC'!E55)</f>
        <v>2150</v>
      </c>
      <c r="AB55" s="54">
        <f>SUM('AC-SVC'!H55)</f>
        <v>0</v>
      </c>
      <c r="AC55" s="54">
        <f>SUM('AC-SVC'!K55)</f>
        <v>0</v>
      </c>
      <c r="AD55" s="54">
        <f>SUM('AC-SVC'!N55)</f>
        <v>0</v>
      </c>
      <c r="AE55" s="54">
        <f>SUM('AC-SVC'!P55)*AE$7</f>
        <v>0</v>
      </c>
      <c r="AF55" s="54">
        <f>SUM(PT!D55)</f>
        <v>0</v>
      </c>
      <c r="AG55" s="54">
        <f>SUM(CCLC!D55)</f>
        <v>0</v>
      </c>
      <c r="AH55" s="54">
        <f>SUM(FC!E55)</f>
        <v>0</v>
      </c>
      <c r="AI55" s="54">
        <v>0</v>
      </c>
      <c r="AJ55" s="54">
        <f>SUM(FS!E55)</f>
        <v>0</v>
      </c>
      <c r="AK55" s="54">
        <f>SUM(IT!E55)</f>
        <v>0</v>
      </c>
      <c r="AL55" s="67"/>
      <c r="AM55" s="60">
        <f t="shared" si="35"/>
        <v>2150</v>
      </c>
      <c r="AO55" s="121"/>
      <c r="AP55" s="288">
        <f>SUM(Sheet1!J55)</f>
        <v>0</v>
      </c>
    </row>
    <row r="56" spans="1:42" ht="12">
      <c r="A56" s="31" t="s">
        <v>232</v>
      </c>
      <c r="B56" s="31" t="s">
        <v>302</v>
      </c>
      <c r="C56" s="38"/>
      <c r="D56" s="54">
        <f t="shared" si="33"/>
        <v>0</v>
      </c>
      <c r="E56" s="54">
        <f t="shared" si="34"/>
        <v>0</v>
      </c>
      <c r="F56" s="38"/>
      <c r="G56" s="38"/>
      <c r="H56" s="71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67"/>
      <c r="Z56" s="54">
        <f>SUM('AC-SVC'!C56)*Z$7</f>
        <v>0</v>
      </c>
      <c r="AA56" s="54">
        <f>SUM('AC-SVC'!E56)</f>
        <v>24984.853448275862</v>
      </c>
      <c r="AB56" s="54">
        <f>SUM('AC-SVC'!H56)</f>
        <v>0</v>
      </c>
      <c r="AC56" s="54">
        <f>SUM('AC-SVC'!K56)</f>
        <v>0</v>
      </c>
      <c r="AD56" s="54">
        <f>SUM('AC-SVC'!N56)</f>
        <v>0</v>
      </c>
      <c r="AE56" s="54">
        <f>SUM('AC-SVC'!P56)*AE$7</f>
        <v>0</v>
      </c>
      <c r="AF56" s="54">
        <f>SUM(PT!D56)</f>
        <v>0</v>
      </c>
      <c r="AG56" s="54">
        <f>SUM(CCLC!D56)</f>
        <v>0</v>
      </c>
      <c r="AH56" s="54">
        <f>SUM(FC!E56)</f>
        <v>0</v>
      </c>
      <c r="AI56" s="54">
        <v>0</v>
      </c>
      <c r="AJ56" s="54">
        <f>SUM(FS!E56)</f>
        <v>0</v>
      </c>
      <c r="AK56" s="54">
        <f>SUM(IT!E56)</f>
        <v>0</v>
      </c>
      <c r="AL56" s="67"/>
      <c r="AM56" s="60">
        <f t="shared" si="35"/>
        <v>24984.853448275862</v>
      </c>
      <c r="AO56" s="121">
        <v>17040.240000000002</v>
      </c>
      <c r="AP56" s="288">
        <f>SUM(Sheet1!J56)</f>
        <v>17127.244811320757</v>
      </c>
    </row>
    <row r="57" spans="1:42" ht="12">
      <c r="A57" s="31" t="s">
        <v>233</v>
      </c>
      <c r="B57" s="31" t="s">
        <v>303</v>
      </c>
      <c r="C57" s="38"/>
      <c r="D57" s="54">
        <f t="shared" si="33"/>
        <v>0</v>
      </c>
      <c r="E57" s="54">
        <f t="shared" si="34"/>
        <v>0</v>
      </c>
      <c r="F57" s="38"/>
      <c r="G57" s="38"/>
      <c r="H57" s="71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67"/>
      <c r="Z57" s="54">
        <f>SUM('AC-SVC'!C57)*Z$7</f>
        <v>0</v>
      </c>
      <c r="AA57" s="54">
        <f>SUM('AC-SVC'!E57)</f>
        <v>0</v>
      </c>
      <c r="AB57" s="54">
        <f>SUM('AC-SVC'!H57)</f>
        <v>0</v>
      </c>
      <c r="AC57" s="54">
        <f>SUM('AC-SVC'!K57)</f>
        <v>0</v>
      </c>
      <c r="AD57" s="54">
        <f>SUM('AC-SVC'!N57)</f>
        <v>0</v>
      </c>
      <c r="AE57" s="54">
        <f>SUM('AC-SVC'!P57)*AE$7</f>
        <v>0</v>
      </c>
      <c r="AF57" s="54">
        <f>SUM(PT!D57)</f>
        <v>0</v>
      </c>
      <c r="AG57" s="54">
        <f>SUM(CCLC!D57)</f>
        <v>0</v>
      </c>
      <c r="AH57" s="54">
        <f>SUM(FC!E57)</f>
        <v>0</v>
      </c>
      <c r="AI57" s="54">
        <v>0</v>
      </c>
      <c r="AJ57" s="54">
        <f>SUM(FS!E57)</f>
        <v>69832</v>
      </c>
      <c r="AK57" s="54">
        <f>SUM(IT!E57)</f>
        <v>0</v>
      </c>
      <c r="AL57" s="67"/>
      <c r="AM57" s="60">
        <f t="shared" si="35"/>
        <v>69832</v>
      </c>
      <c r="AO57" s="121">
        <v>50471.08</v>
      </c>
      <c r="AP57" s="288">
        <f>SUM(Sheet1!J57)</f>
        <v>60014.1487264151</v>
      </c>
    </row>
    <row r="58" spans="1:42" ht="12">
      <c r="A58" s="31" t="s">
        <v>0</v>
      </c>
      <c r="B58" s="31" t="s">
        <v>304</v>
      </c>
      <c r="C58" s="38"/>
      <c r="D58" s="54">
        <f t="shared" si="33"/>
        <v>0</v>
      </c>
      <c r="E58" s="54">
        <f t="shared" si="34"/>
        <v>0</v>
      </c>
      <c r="F58" s="38"/>
      <c r="G58" s="38"/>
      <c r="H58" s="71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67"/>
      <c r="Z58" s="54">
        <f>SUM('AC-SVC'!C58)*Z$7</f>
        <v>0</v>
      </c>
      <c r="AA58" s="54">
        <f>SUM('AC-SVC'!E58)</f>
        <v>0</v>
      </c>
      <c r="AB58" s="54">
        <f>SUM('AC-SVC'!H58)</f>
        <v>0</v>
      </c>
      <c r="AC58" s="54">
        <f>SUM('AC-SVC'!K58)</f>
        <v>0</v>
      </c>
      <c r="AD58" s="54">
        <f>SUM('AC-SVC'!N58)</f>
        <v>0</v>
      </c>
      <c r="AE58" s="54">
        <f>SUM('AC-SVC'!P58)*AE$7</f>
        <v>0</v>
      </c>
      <c r="AF58" s="54">
        <f>SUM(PT!D58)</f>
        <v>0</v>
      </c>
      <c r="AG58" s="54">
        <f>SUM(CCLC!D58)</f>
        <v>0</v>
      </c>
      <c r="AH58" s="54">
        <f>SUM(FC!E58)</f>
        <v>0</v>
      </c>
      <c r="AI58" s="54">
        <v>0</v>
      </c>
      <c r="AJ58" s="54">
        <f>SUM(FS!E58)</f>
        <v>0</v>
      </c>
      <c r="AK58" s="54">
        <f>SUM(IT!E58)</f>
        <v>14016</v>
      </c>
      <c r="AL58" s="67"/>
      <c r="AM58" s="60">
        <f t="shared" si="35"/>
        <v>14016</v>
      </c>
      <c r="AO58" s="121">
        <v>1196.0999999999999</v>
      </c>
      <c r="AP58" s="288">
        <f>SUM(Sheet1!J58)</f>
        <v>5978.1561320754709</v>
      </c>
    </row>
    <row r="59" spans="1:42" ht="12">
      <c r="A59" s="31" t="s">
        <v>1</v>
      </c>
      <c r="B59" s="31" t="s">
        <v>305</v>
      </c>
      <c r="C59" s="38"/>
      <c r="D59" s="54">
        <f t="shared" si="33"/>
        <v>0</v>
      </c>
      <c r="E59" s="54">
        <f t="shared" si="34"/>
        <v>0</v>
      </c>
      <c r="F59" s="38"/>
      <c r="G59" s="38"/>
      <c r="H59" s="71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67"/>
      <c r="Z59" s="54">
        <f>SUM('AC-SVC'!C59)*Z$7</f>
        <v>0</v>
      </c>
      <c r="AA59" s="54">
        <f>SUM('AC-SVC'!E59)</f>
        <v>0</v>
      </c>
      <c r="AB59" s="54">
        <f>SUM('AC-SVC'!H59)</f>
        <v>0</v>
      </c>
      <c r="AC59" s="54">
        <f>SUM('AC-SVC'!K59)</f>
        <v>0</v>
      </c>
      <c r="AD59" s="54">
        <f>SUM('AC-SVC'!N59)</f>
        <v>0</v>
      </c>
      <c r="AE59" s="54">
        <f>SUM('AC-SVC'!P59)*AE$7</f>
        <v>0</v>
      </c>
      <c r="AF59" s="54">
        <f>SUM(PT!D59)</f>
        <v>0</v>
      </c>
      <c r="AG59" s="54">
        <f>SUM(CCLC!D59)</f>
        <v>0</v>
      </c>
      <c r="AH59" s="54">
        <f>SUM(FC!E59)</f>
        <v>0</v>
      </c>
      <c r="AI59" s="54">
        <v>0</v>
      </c>
      <c r="AJ59" s="54">
        <f>SUM(FS!E59)</f>
        <v>0</v>
      </c>
      <c r="AK59" s="54">
        <f>SUM(IT!E59)</f>
        <v>0</v>
      </c>
      <c r="AL59" s="67"/>
      <c r="AM59" s="60">
        <f t="shared" si="35"/>
        <v>0</v>
      </c>
      <c r="AO59" s="121"/>
      <c r="AP59" s="288">
        <f>SUM(Sheet1!J59)</f>
        <v>63312.078349056603</v>
      </c>
    </row>
    <row r="60" spans="1:42" ht="12">
      <c r="A60" s="31" t="s">
        <v>3</v>
      </c>
      <c r="B60" s="31" t="s">
        <v>2</v>
      </c>
      <c r="C60" s="38"/>
      <c r="D60" s="54">
        <f t="shared" si="33"/>
        <v>0</v>
      </c>
      <c r="E60" s="54">
        <f t="shared" si="34"/>
        <v>0</v>
      </c>
      <c r="F60" s="38"/>
      <c r="G60" s="38"/>
      <c r="H60" s="71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67"/>
      <c r="Z60" s="54">
        <f>SUM('AC-SVC'!C60)*Z$7</f>
        <v>0</v>
      </c>
      <c r="AA60" s="54">
        <f>SUM('AC-SVC'!E60)</f>
        <v>0</v>
      </c>
      <c r="AB60" s="54">
        <f>SUM('AC-SVC'!H60)</f>
        <v>0</v>
      </c>
      <c r="AC60" s="54">
        <f>SUM('AC-SVC'!K60)</f>
        <v>0</v>
      </c>
      <c r="AD60" s="54">
        <f>SUM('AC-SVC'!N60)</f>
        <v>0</v>
      </c>
      <c r="AE60" s="54">
        <f>SUM('AC-SVC'!P60)*AE$7</f>
        <v>0</v>
      </c>
      <c r="AF60" s="54">
        <f>SUM(PT!D60)</f>
        <v>0</v>
      </c>
      <c r="AG60" s="54">
        <f>SUM(CCLC!D60)</f>
        <v>0</v>
      </c>
      <c r="AH60" s="54">
        <f>SUM(FC!E60)</f>
        <v>0</v>
      </c>
      <c r="AI60" s="54">
        <v>0</v>
      </c>
      <c r="AJ60" s="54">
        <f>SUM(FS!E60)</f>
        <v>0</v>
      </c>
      <c r="AK60" s="54">
        <f>SUM(IT!E60)</f>
        <v>0</v>
      </c>
      <c r="AL60" s="67"/>
      <c r="AM60" s="60">
        <f t="shared" si="35"/>
        <v>0</v>
      </c>
      <c r="AO60" s="121"/>
      <c r="AP60" s="288">
        <f>SUM(Sheet1!J60)</f>
        <v>0</v>
      </c>
    </row>
    <row r="61" spans="1:42" ht="12">
      <c r="A61" s="31" t="s">
        <v>4</v>
      </c>
      <c r="B61" s="31" t="s">
        <v>5</v>
      </c>
      <c r="C61" s="38"/>
      <c r="D61" s="54">
        <f t="shared" si="33"/>
        <v>0</v>
      </c>
      <c r="E61" s="54">
        <f t="shared" si="34"/>
        <v>0</v>
      </c>
      <c r="F61" s="47"/>
      <c r="G61" s="47"/>
      <c r="H61" s="71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67"/>
      <c r="Z61" s="54">
        <f>SUM('AC-SVC'!C61)*Z$7</f>
        <v>0</v>
      </c>
      <c r="AA61" s="54">
        <f>SUM('AC-SVC'!E61)</f>
        <v>31432.748538011696</v>
      </c>
      <c r="AB61" s="54">
        <f>SUM('AC-SVC'!H61)</f>
        <v>0</v>
      </c>
      <c r="AC61" s="54">
        <f>SUM('AC-SVC'!K61)</f>
        <v>0</v>
      </c>
      <c r="AD61" s="54">
        <f>SUM('AC-SVC'!N61)</f>
        <v>0</v>
      </c>
      <c r="AE61" s="54">
        <f>SUM('AC-SVC'!P61)*AE$7</f>
        <v>0</v>
      </c>
      <c r="AF61" s="54">
        <f>SUM(PT!D61)</f>
        <v>0</v>
      </c>
      <c r="AG61" s="54">
        <f>SUM(CCLC!D61)</f>
        <v>0</v>
      </c>
      <c r="AH61" s="54">
        <f>SUM(FC!E61)</f>
        <v>0</v>
      </c>
      <c r="AI61" s="54">
        <v>0</v>
      </c>
      <c r="AJ61" s="54">
        <f>SUM(FS!E61)</f>
        <v>0</v>
      </c>
      <c r="AK61" s="54">
        <f>SUM(IT!E61)</f>
        <v>0</v>
      </c>
      <c r="AL61" s="67"/>
      <c r="AM61" s="60">
        <f t="shared" si="35"/>
        <v>31432.748538011696</v>
      </c>
      <c r="AO61" s="121"/>
      <c r="AP61" s="288">
        <f>SUM(Sheet1!J61)</f>
        <v>0</v>
      </c>
    </row>
    <row r="62" spans="1:42" ht="12">
      <c r="A62" s="31" t="s">
        <v>6</v>
      </c>
      <c r="B62" s="31" t="s">
        <v>7</v>
      </c>
      <c r="C62" s="38"/>
      <c r="D62" s="54">
        <f t="shared" si="33"/>
        <v>0</v>
      </c>
      <c r="E62" s="54">
        <f t="shared" si="34"/>
        <v>0</v>
      </c>
      <c r="F62" s="38"/>
      <c r="G62" s="38"/>
      <c r="H62" s="71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67"/>
      <c r="Z62" s="54">
        <f>SUM('AC-SVC'!C62)*Z$7</f>
        <v>0</v>
      </c>
      <c r="AA62" s="54">
        <f>SUM('AC-SVC'!E62)</f>
        <v>0</v>
      </c>
      <c r="AB62" s="54">
        <f>SUM('AC-SVC'!H62)</f>
        <v>0</v>
      </c>
      <c r="AC62" s="54">
        <f>SUM('AC-SVC'!K62)</f>
        <v>0</v>
      </c>
      <c r="AD62" s="54">
        <f>SUM('AC-SVC'!N62)</f>
        <v>0</v>
      </c>
      <c r="AE62" s="54">
        <f>SUM('AC-SVC'!P62)*AE$7</f>
        <v>0</v>
      </c>
      <c r="AF62" s="54">
        <f>SUM(PT!D62)</f>
        <v>0</v>
      </c>
      <c r="AG62" s="54">
        <f>SUM(CCLC!D62)</f>
        <v>0</v>
      </c>
      <c r="AH62" s="54">
        <f>SUM(FC!E62)</f>
        <v>0</v>
      </c>
      <c r="AI62" s="54">
        <v>0</v>
      </c>
      <c r="AJ62" s="54">
        <f>SUM(FS!E62)</f>
        <v>0</v>
      </c>
      <c r="AK62" s="54">
        <f>SUM(IT!E62)</f>
        <v>0</v>
      </c>
      <c r="AL62" s="67"/>
      <c r="AM62" s="60">
        <f t="shared" si="35"/>
        <v>0</v>
      </c>
      <c r="AO62" s="121">
        <v>314147.58</v>
      </c>
      <c r="AP62" s="288">
        <f>SUM(Sheet1!J62)</f>
        <v>63718.612924528308</v>
      </c>
    </row>
    <row r="63" spans="1:42" ht="12">
      <c r="A63" s="31" t="s">
        <v>8</v>
      </c>
      <c r="B63" s="31" t="s">
        <v>9</v>
      </c>
      <c r="C63" s="38"/>
      <c r="D63" s="54">
        <f t="shared" si="33"/>
        <v>0</v>
      </c>
      <c r="E63" s="54">
        <f t="shared" si="34"/>
        <v>0</v>
      </c>
      <c r="F63" s="38"/>
      <c r="G63" s="38"/>
      <c r="H63" s="71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67"/>
      <c r="Z63" s="54">
        <f>SUM('AC-SVC'!C63)*Z$7</f>
        <v>0</v>
      </c>
      <c r="AA63" s="54">
        <f>SUM('AC-SVC'!E63)</f>
        <v>0</v>
      </c>
      <c r="AB63" s="54">
        <f>SUM('AC-SVC'!H63)</f>
        <v>0</v>
      </c>
      <c r="AC63" s="54">
        <f>SUM('AC-SVC'!K63)</f>
        <v>0</v>
      </c>
      <c r="AD63" s="54">
        <f>SUM('AC-SVC'!N63)</f>
        <v>0</v>
      </c>
      <c r="AE63" s="54">
        <f>SUM('AC-SVC'!P63)*AE$7</f>
        <v>0</v>
      </c>
      <c r="AF63" s="54">
        <f>SUM(PT!D63)</f>
        <v>0</v>
      </c>
      <c r="AG63" s="54">
        <f>SUM(CCLC!D63)</f>
        <v>0</v>
      </c>
      <c r="AH63" s="54">
        <f>SUM(FC!E63)</f>
        <v>0</v>
      </c>
      <c r="AI63" s="54">
        <v>0</v>
      </c>
      <c r="AJ63" s="54">
        <f>SUM(FS!E63)</f>
        <v>0</v>
      </c>
      <c r="AK63" s="54">
        <f>SUM(IT!E63)</f>
        <v>0</v>
      </c>
      <c r="AL63" s="67"/>
      <c r="AM63" s="60">
        <f t="shared" si="35"/>
        <v>0</v>
      </c>
      <c r="AO63" s="121"/>
      <c r="AP63" s="288">
        <f>SUM(Sheet1!J63)</f>
        <v>0</v>
      </c>
    </row>
    <row r="64" spans="1:42" ht="12">
      <c r="A64" s="31" t="s">
        <v>11</v>
      </c>
      <c r="B64" s="31" t="s">
        <v>307</v>
      </c>
      <c r="C64" s="38"/>
      <c r="D64" s="54">
        <f t="shared" si="33"/>
        <v>0</v>
      </c>
      <c r="E64" s="54">
        <f t="shared" si="34"/>
        <v>0</v>
      </c>
      <c r="F64" s="38"/>
      <c r="G64" s="38"/>
      <c r="H64" s="71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67"/>
      <c r="Z64" s="54">
        <f>SUM('AC-SVC'!C64)*Z$7</f>
        <v>0</v>
      </c>
      <c r="AA64" s="54">
        <f>SUM('AC-SVC'!E64)</f>
        <v>0</v>
      </c>
      <c r="AB64" s="54">
        <f>SUM('AC-SVC'!H64)</f>
        <v>0</v>
      </c>
      <c r="AC64" s="54">
        <f>SUM('AC-SVC'!K64)</f>
        <v>0</v>
      </c>
      <c r="AD64" s="54">
        <f>SUM('AC-SVC'!N64)</f>
        <v>0</v>
      </c>
      <c r="AE64" s="54">
        <f>SUM('AC-SVC'!P64)*AE$7</f>
        <v>0</v>
      </c>
      <c r="AF64" s="54">
        <f>SUM(PT!D64)</f>
        <v>0</v>
      </c>
      <c r="AG64" s="54">
        <f>SUM(CCLC!D64)</f>
        <v>0</v>
      </c>
      <c r="AH64" s="54">
        <f>SUM(FC!E64)</f>
        <v>0</v>
      </c>
      <c r="AI64" s="54">
        <v>0</v>
      </c>
      <c r="AJ64" s="54">
        <f>SUM(FS!E64)</f>
        <v>0</v>
      </c>
      <c r="AK64" s="54">
        <f>SUM(IT!E64)</f>
        <v>0</v>
      </c>
      <c r="AL64" s="67"/>
      <c r="AM64" s="60">
        <f t="shared" si="35"/>
        <v>0</v>
      </c>
      <c r="AO64" s="121"/>
      <c r="AP64" s="288">
        <f>SUM(Sheet1!J64)</f>
        <v>0</v>
      </c>
    </row>
    <row r="65" spans="1:42" ht="12">
      <c r="A65" s="31" t="s">
        <v>10</v>
      </c>
      <c r="B65" s="31" t="s">
        <v>306</v>
      </c>
      <c r="C65" s="39"/>
      <c r="D65" s="39">
        <f t="shared" si="33"/>
        <v>0</v>
      </c>
      <c r="E65" s="39">
        <f t="shared" si="34"/>
        <v>0</v>
      </c>
      <c r="F65" s="39"/>
      <c r="G65" s="39"/>
      <c r="H65" s="73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7"/>
      <c r="Z65" s="39">
        <f>SUM('AC-SVC'!C65)*Z$7</f>
        <v>0</v>
      </c>
      <c r="AA65" s="39">
        <f>SUM('AC-SVC'!E65)</f>
        <v>0</v>
      </c>
      <c r="AB65" s="39">
        <f>SUM('AC-SVC'!H65)</f>
        <v>0</v>
      </c>
      <c r="AC65" s="39">
        <f>SUM('AC-SVC'!K65)</f>
        <v>0</v>
      </c>
      <c r="AD65" s="39">
        <f>SUM('AC-SVC'!N65)</f>
        <v>0</v>
      </c>
      <c r="AE65" s="39">
        <f>SUM('AC-SVC'!P65)*AE$7</f>
        <v>0</v>
      </c>
      <c r="AF65" s="39">
        <f>SUM(PT!D65)</f>
        <v>0</v>
      </c>
      <c r="AG65" s="39">
        <f>SUM(CCLC!D65)</f>
        <v>0</v>
      </c>
      <c r="AH65" s="39">
        <f>SUM(FC!E65)</f>
        <v>0</v>
      </c>
      <c r="AI65" s="39">
        <v>0</v>
      </c>
      <c r="AJ65" s="39">
        <f>SUM(FS!E65)</f>
        <v>0</v>
      </c>
      <c r="AK65" s="39">
        <f>SUM(IT!E65)</f>
        <v>0</v>
      </c>
      <c r="AL65" s="67"/>
      <c r="AM65" s="59">
        <f t="shared" si="35"/>
        <v>0</v>
      </c>
      <c r="AO65" s="122"/>
      <c r="AP65" s="289">
        <f>SUM(Sheet1!J65)</f>
        <v>0</v>
      </c>
    </row>
    <row r="66" spans="1:42" ht="10">
      <c r="B66" s="31" t="s">
        <v>308</v>
      </c>
      <c r="C66" s="38">
        <f>SUM(C53:C65)</f>
        <v>61275</v>
      </c>
      <c r="D66" s="38">
        <f t="shared" ref="D66:G66" si="36">SUM(D53:D65)</f>
        <v>0</v>
      </c>
      <c r="E66" s="38">
        <f t="shared" si="36"/>
        <v>0</v>
      </c>
      <c r="F66" s="38">
        <f t="shared" si="36"/>
        <v>0</v>
      </c>
      <c r="G66" s="38">
        <f t="shared" si="36"/>
        <v>0</v>
      </c>
      <c r="H66" s="71"/>
      <c r="I66" s="38">
        <f t="shared" ref="I66" si="37">SUM(I53:I65)</f>
        <v>0</v>
      </c>
      <c r="J66" s="38">
        <f t="shared" ref="J66:K66" si="38">SUM(J53:J65)</f>
        <v>0</v>
      </c>
      <c r="K66" s="38">
        <f t="shared" si="38"/>
        <v>0</v>
      </c>
      <c r="L66" s="38">
        <f t="shared" ref="L66" si="39">SUM(L53:L65)</f>
        <v>0</v>
      </c>
      <c r="M66" s="38">
        <f t="shared" ref="M66" si="40">SUM(M53:M65)</f>
        <v>0</v>
      </c>
      <c r="N66" s="38">
        <f t="shared" ref="N66" si="41">SUM(N53:N65)</f>
        <v>0</v>
      </c>
      <c r="O66" s="38">
        <f t="shared" ref="O66" si="42">SUM(O53:O65)</f>
        <v>0</v>
      </c>
      <c r="P66" s="38">
        <f t="shared" ref="P66" si="43">SUM(P53:P65)</f>
        <v>0</v>
      </c>
      <c r="Q66" s="38">
        <f t="shared" ref="Q66:R66" si="44">SUM(Q53:Q65)</f>
        <v>0</v>
      </c>
      <c r="R66" s="38">
        <f t="shared" si="44"/>
        <v>0</v>
      </c>
      <c r="S66" s="38">
        <f t="shared" ref="S66" si="45">SUM(S53:S65)</f>
        <v>0</v>
      </c>
      <c r="T66" s="38">
        <f t="shared" ref="T66" si="46">SUM(T53:T65)</f>
        <v>0</v>
      </c>
      <c r="U66" s="38">
        <f t="shared" ref="U66" si="47">SUM(U53:U65)</f>
        <v>0</v>
      </c>
      <c r="V66" s="38">
        <f t="shared" ref="V66" si="48">SUM(V53:V65)</f>
        <v>0</v>
      </c>
      <c r="W66" s="38">
        <f t="shared" ref="W66" si="49">SUM(W53:W65)</f>
        <v>0</v>
      </c>
      <c r="X66" s="38">
        <f t="shared" ref="X66" si="50">SUM(X53:X65)</f>
        <v>0</v>
      </c>
      <c r="Y66" s="67"/>
      <c r="Z66" s="38">
        <f t="shared" ref="Z66:AD66" si="51">+SUM(Z53:Z65)</f>
        <v>0</v>
      </c>
      <c r="AA66" s="47">
        <f t="shared" si="51"/>
        <v>115542.60198628755</v>
      </c>
      <c r="AB66" s="38">
        <f t="shared" si="51"/>
        <v>0</v>
      </c>
      <c r="AC66" s="38">
        <f t="shared" si="51"/>
        <v>0</v>
      </c>
      <c r="AD66" s="38">
        <f t="shared" si="51"/>
        <v>0</v>
      </c>
      <c r="AE66" s="38">
        <f t="shared" ref="AE66" si="52">+SUM(AE53:AE65)</f>
        <v>0</v>
      </c>
      <c r="AF66" s="38">
        <f>+SUM(AF53:AF65)</f>
        <v>0</v>
      </c>
      <c r="AG66" s="38">
        <f>+SUM(AG53:AG65)</f>
        <v>0</v>
      </c>
      <c r="AH66" s="38">
        <f>+SUM(AH53:AH65)</f>
        <v>0</v>
      </c>
      <c r="AI66" s="38">
        <f t="shared" ref="AI66" si="53">+SUM(AI53:AI65)</f>
        <v>0</v>
      </c>
      <c r="AJ66" s="38">
        <f>+SUM(AJ53:AJ65)</f>
        <v>69832</v>
      </c>
      <c r="AK66" s="38">
        <f t="shared" ref="AK66" si="54">+SUM(AK53:AK65)</f>
        <v>14016</v>
      </c>
      <c r="AL66" s="67"/>
      <c r="AM66" s="50">
        <f>SUM(AM53:AM65)</f>
        <v>260665.60198628754</v>
      </c>
      <c r="AO66" s="120">
        <f>SUM(AO53:AO65)</f>
        <v>382855</v>
      </c>
      <c r="AP66" s="278">
        <f>SUM(AP53:AP65)</f>
        <v>264766.03174528305</v>
      </c>
    </row>
    <row r="67" spans="1:42">
      <c r="C67" s="38"/>
      <c r="D67" s="38"/>
      <c r="E67" s="38"/>
      <c r="F67" s="38"/>
      <c r="G67" s="38"/>
      <c r="H67" s="71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67"/>
      <c r="Z67" s="38"/>
      <c r="AA67" s="47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67"/>
      <c r="AM67" s="50"/>
      <c r="AO67" s="120"/>
    </row>
    <row r="68" spans="1:42" s="4" customFormat="1" ht="12">
      <c r="A68" s="35"/>
      <c r="B68" s="35" t="s">
        <v>309</v>
      </c>
      <c r="C68" s="40">
        <f>SUM(C38+C49+C66)</f>
        <v>2040640</v>
      </c>
      <c r="D68" s="40">
        <f t="shared" ref="D68:X68" si="55">SUM(D38+D49+D66)</f>
        <v>0</v>
      </c>
      <c r="E68" s="40">
        <f t="shared" si="55"/>
        <v>0</v>
      </c>
      <c r="F68" s="40">
        <f t="shared" si="55"/>
        <v>0</v>
      </c>
      <c r="G68" s="40">
        <f t="shared" si="55"/>
        <v>0</v>
      </c>
      <c r="H68" s="74"/>
      <c r="I68" s="40">
        <f t="shared" si="55"/>
        <v>0</v>
      </c>
      <c r="J68" s="40">
        <f t="shared" si="55"/>
        <v>0</v>
      </c>
      <c r="K68" s="40">
        <f t="shared" ref="K68" si="56">SUM(K38+K49+K66)</f>
        <v>0</v>
      </c>
      <c r="L68" s="40">
        <f t="shared" si="55"/>
        <v>0</v>
      </c>
      <c r="M68" s="40">
        <f t="shared" si="55"/>
        <v>0</v>
      </c>
      <c r="N68" s="40">
        <f t="shared" si="55"/>
        <v>0</v>
      </c>
      <c r="O68" s="40">
        <f t="shared" si="55"/>
        <v>0</v>
      </c>
      <c r="P68" s="40">
        <f t="shared" si="55"/>
        <v>0</v>
      </c>
      <c r="Q68" s="40">
        <f>SUM(Q38+Q49+Q66)</f>
        <v>0</v>
      </c>
      <c r="R68" s="40">
        <f>SUM(R38+R49+R66)</f>
        <v>0</v>
      </c>
      <c r="S68" s="40">
        <f t="shared" si="55"/>
        <v>0</v>
      </c>
      <c r="T68" s="40">
        <f t="shared" si="55"/>
        <v>0</v>
      </c>
      <c r="U68" s="40">
        <f t="shared" si="55"/>
        <v>0</v>
      </c>
      <c r="V68" s="40">
        <f t="shared" si="55"/>
        <v>0</v>
      </c>
      <c r="W68" s="40">
        <f t="shared" si="55"/>
        <v>0</v>
      </c>
      <c r="X68" s="40">
        <f t="shared" si="55"/>
        <v>0</v>
      </c>
      <c r="Y68" s="70"/>
      <c r="Z68" s="40">
        <f t="shared" ref="Z68:AD68" si="57">+Z66+Z49+Z38</f>
        <v>0</v>
      </c>
      <c r="AA68" s="50">
        <f t="shared" si="57"/>
        <v>115542.60198628755</v>
      </c>
      <c r="AB68" s="40">
        <f t="shared" si="57"/>
        <v>0</v>
      </c>
      <c r="AC68" s="40">
        <f t="shared" si="57"/>
        <v>0</v>
      </c>
      <c r="AD68" s="40">
        <f t="shared" si="57"/>
        <v>800</v>
      </c>
      <c r="AE68" s="40">
        <f t="shared" ref="AE68" si="58">+AE66+AE49+AE38</f>
        <v>0</v>
      </c>
      <c r="AF68" s="40">
        <f>+AF38+AF49+AF66</f>
        <v>33750</v>
      </c>
      <c r="AG68" s="40">
        <f t="shared" ref="AG68:AH68" si="59">+AG38+AG49+AG66</f>
        <v>0</v>
      </c>
      <c r="AH68" s="40">
        <f t="shared" si="59"/>
        <v>0</v>
      </c>
      <c r="AI68" s="40">
        <f t="shared" ref="AI68" si="60">+AI66+AI49+AI38</f>
        <v>0</v>
      </c>
      <c r="AJ68" s="40">
        <f>+AJ66+AJ49+AJ38</f>
        <v>104232</v>
      </c>
      <c r="AK68" s="40">
        <f t="shared" ref="AK68" si="61">+AK66+AK49+AK38</f>
        <v>14016</v>
      </c>
      <c r="AL68" s="70"/>
      <c r="AM68" s="40">
        <f t="shared" ref="AM68" si="62">+AM66+AM49+AM38</f>
        <v>2308980.6019862876</v>
      </c>
      <c r="AO68" s="120">
        <f>SUM(AO66+AO49+AO38)</f>
        <v>1730552.95</v>
      </c>
      <c r="AP68" s="280">
        <f>SUM(AP38+AP49+AP66)</f>
        <v>2341138.5556132076</v>
      </c>
    </row>
    <row r="69" spans="1:42">
      <c r="C69" s="38"/>
      <c r="D69" s="38"/>
      <c r="E69" s="38"/>
      <c r="F69" s="38"/>
      <c r="G69" s="38"/>
      <c r="H69" s="71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67"/>
      <c r="Z69" s="38"/>
      <c r="AA69" s="47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67"/>
      <c r="AM69" s="50"/>
      <c r="AO69" s="120"/>
    </row>
    <row r="70" spans="1:42">
      <c r="A70" s="31" t="s">
        <v>310</v>
      </c>
      <c r="C70" s="38"/>
      <c r="D70" s="38"/>
      <c r="E70" s="38"/>
      <c r="F70" s="38"/>
      <c r="G70" s="38"/>
      <c r="H70" s="71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67"/>
      <c r="Z70" s="38"/>
      <c r="AA70" s="47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67"/>
      <c r="AM70" s="50"/>
      <c r="AO70" s="120"/>
    </row>
    <row r="71" spans="1:42">
      <c r="A71" s="31" t="s">
        <v>311</v>
      </c>
      <c r="C71" s="38"/>
      <c r="D71" s="38"/>
      <c r="E71" s="38"/>
      <c r="F71" s="38"/>
      <c r="G71" s="38"/>
      <c r="H71" s="71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67"/>
      <c r="Z71" s="38"/>
      <c r="AA71" s="47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67"/>
      <c r="AM71" s="50"/>
      <c r="AO71" s="120"/>
    </row>
    <row r="72" spans="1:42" ht="12">
      <c r="A72" s="31" t="s">
        <v>19</v>
      </c>
      <c r="B72" s="31" t="s">
        <v>320</v>
      </c>
      <c r="C72" s="38"/>
      <c r="D72" s="54">
        <f t="shared" ref="D72:D79" si="63">SUM(I72:K72)</f>
        <v>0</v>
      </c>
      <c r="E72" s="54">
        <f t="shared" ref="E72:E79" si="64">+SUM(L72:X72)</f>
        <v>0</v>
      </c>
      <c r="F72" s="38">
        <f>SUM('13-2014 Ret Emp'!I94)</f>
        <v>71298.81</v>
      </c>
      <c r="G72" s="38"/>
      <c r="H72" s="71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67"/>
      <c r="Z72" s="54">
        <f>SUM('AC-SVC'!C72)*Z$7</f>
        <v>0</v>
      </c>
      <c r="AA72" s="54">
        <f>SUM('AC-SVC'!E72)</f>
        <v>0</v>
      </c>
      <c r="AB72" s="54">
        <f>SUM('AC-SVC'!H72)</f>
        <v>0</v>
      </c>
      <c r="AC72" s="54">
        <f>SUM('AC-SVC'!K72)</f>
        <v>0</v>
      </c>
      <c r="AD72" s="54">
        <f>SUM('AC-SVC'!N72)</f>
        <v>0</v>
      </c>
      <c r="AE72" s="54">
        <f>SUM('AC-SVC'!P72)*AE$7</f>
        <v>0</v>
      </c>
      <c r="AF72" s="54">
        <f>SUM(PT!D72)</f>
        <v>0</v>
      </c>
      <c r="AG72" s="54">
        <f>SUM(CCLC!D72)</f>
        <v>0</v>
      </c>
      <c r="AH72" s="54">
        <f>SUM(FC!E72)</f>
        <v>0</v>
      </c>
      <c r="AI72" s="54">
        <v>0</v>
      </c>
      <c r="AJ72" s="54">
        <f>SUM(FS!E72)</f>
        <v>0</v>
      </c>
      <c r="AK72" s="54">
        <f>SUM(IT!E72)</f>
        <v>0</v>
      </c>
      <c r="AL72" s="67"/>
      <c r="AM72" s="60">
        <f t="shared" ref="AM72:AM79" si="65">SUM(C72:G72)+SUM(Z72:AK72)</f>
        <v>71298.81</v>
      </c>
      <c r="AO72" s="121">
        <v>115377.72</v>
      </c>
      <c r="AP72" s="288">
        <f>SUM(Sheet1!J72)</f>
        <v>100445.49504716981</v>
      </c>
    </row>
    <row r="73" spans="1:42" ht="12">
      <c r="A73" s="31" t="s">
        <v>12</v>
      </c>
      <c r="B73" s="31" t="s">
        <v>312</v>
      </c>
      <c r="C73" s="38"/>
      <c r="D73" s="54">
        <f t="shared" si="63"/>
        <v>121236.66075468749</v>
      </c>
      <c r="E73" s="54">
        <f t="shared" si="64"/>
        <v>403605.65287499997</v>
      </c>
      <c r="F73" s="38"/>
      <c r="G73" s="38"/>
      <c r="H73" s="71"/>
      <c r="I73" s="47">
        <v>35911</v>
      </c>
      <c r="J73" s="47">
        <f>SUM('13-2014 Ret Emp'!I90)</f>
        <v>42399.660754687487</v>
      </c>
      <c r="K73" s="47">
        <v>42926</v>
      </c>
      <c r="L73" s="47">
        <v>43332</v>
      </c>
      <c r="M73" s="47">
        <f>+'AC-SCH'!D41</f>
        <v>40356.607499999998</v>
      </c>
      <c r="N73" s="47">
        <v>43332</v>
      </c>
      <c r="O73" s="47">
        <v>41957</v>
      </c>
      <c r="P73" s="47">
        <v>41957</v>
      </c>
      <c r="Q73" s="47">
        <v>41957</v>
      </c>
      <c r="R73" s="47"/>
      <c r="S73" s="47">
        <f>+'AC-SCH'!$D42</f>
        <v>41365.522687499993</v>
      </c>
      <c r="T73" s="47">
        <f>SUM('AC-SCH'!D42)</f>
        <v>41365.522687499993</v>
      </c>
      <c r="U73" s="47">
        <v>0</v>
      </c>
      <c r="V73" s="47">
        <v>33572</v>
      </c>
      <c r="W73" s="47"/>
      <c r="X73" s="47">
        <v>34411</v>
      </c>
      <c r="Y73" s="67"/>
      <c r="Z73" s="54">
        <f>SUM('AC-SVC'!C86)*Z$7</f>
        <v>0</v>
      </c>
      <c r="AA73" s="54">
        <f>SUM('AC-SVC'!E73)</f>
        <v>0</v>
      </c>
      <c r="AB73" s="54">
        <f>SUM('AC-SVC'!H73)</f>
        <v>0</v>
      </c>
      <c r="AC73" s="54">
        <f>SUM('AC-SVC'!K73)</f>
        <v>0</v>
      </c>
      <c r="AD73" s="54">
        <f>SUM('AC-SVC'!N73)</f>
        <v>19936.150000000001</v>
      </c>
      <c r="AE73" s="54">
        <f>SUM('AC-SVC'!P73)*AE$7</f>
        <v>0</v>
      </c>
      <c r="AF73" s="54">
        <f>SUM(PT!D73)</f>
        <v>19022.04</v>
      </c>
      <c r="AG73" s="54">
        <f>SUM(CCLC!D73)</f>
        <v>0</v>
      </c>
      <c r="AH73" s="54">
        <f>SUM(FC!E73)</f>
        <v>0</v>
      </c>
      <c r="AI73" s="54">
        <v>0</v>
      </c>
      <c r="AJ73" s="54">
        <f>SUM(FS!E73)</f>
        <v>0</v>
      </c>
      <c r="AK73" s="54">
        <f>SUM(IT!E73)</f>
        <v>0</v>
      </c>
      <c r="AL73" s="67"/>
      <c r="AM73" s="60">
        <f t="shared" si="65"/>
        <v>563800.50362968748</v>
      </c>
      <c r="AO73" s="121">
        <v>292204.78999999998</v>
      </c>
      <c r="AP73" s="288">
        <f>SUM(Sheet1!J73)</f>
        <v>685322.92547169817</v>
      </c>
    </row>
    <row r="74" spans="1:42" ht="12">
      <c r="A74" s="31" t="s">
        <v>13</v>
      </c>
      <c r="B74" s="31" t="s">
        <v>313</v>
      </c>
      <c r="C74" s="38"/>
      <c r="D74" s="54">
        <f t="shared" si="63"/>
        <v>66855.974000000002</v>
      </c>
      <c r="E74" s="54">
        <f t="shared" si="64"/>
        <v>135185.97399999999</v>
      </c>
      <c r="F74" s="38"/>
      <c r="G74" s="38"/>
      <c r="H74" s="71"/>
      <c r="I74" s="38">
        <f>+'AC-SCH'!D81</f>
        <v>21841.973999999998</v>
      </c>
      <c r="J74" s="38">
        <v>23172</v>
      </c>
      <c r="K74" s="38">
        <v>21842</v>
      </c>
      <c r="L74" s="38">
        <f>+'AC-SCH'!D81</f>
        <v>21841.973999999998</v>
      </c>
      <c r="M74" s="38">
        <v>21842</v>
      </c>
      <c r="N74" s="38">
        <v>22497</v>
      </c>
      <c r="O74" s="38">
        <v>25321</v>
      </c>
      <c r="P74" s="38">
        <v>21842</v>
      </c>
      <c r="Q74" s="38">
        <v>21842</v>
      </c>
      <c r="R74" s="38"/>
      <c r="S74" s="38"/>
      <c r="T74" s="38"/>
      <c r="U74" s="38"/>
      <c r="V74" s="38"/>
      <c r="W74" s="38"/>
      <c r="X74" s="38"/>
      <c r="Y74" s="67"/>
      <c r="Z74" s="54">
        <f>SUM('AC-SVC'!C74)*Z$7</f>
        <v>0</v>
      </c>
      <c r="AA74" s="54">
        <f>SUM('AC-SVC'!E74)</f>
        <v>0</v>
      </c>
      <c r="AB74" s="54">
        <f>SUM('AC-SVC'!H74)</f>
        <v>0</v>
      </c>
      <c r="AC74" s="54">
        <f>SUM('AC-SVC'!K74)</f>
        <v>0</v>
      </c>
      <c r="AD74" s="54">
        <f>SUM('AC-SVC'!N74)</f>
        <v>0</v>
      </c>
      <c r="AE74" s="54">
        <f>SUM('AC-SVC'!P74)*AE$7</f>
        <v>0</v>
      </c>
      <c r="AF74" s="54">
        <f>SUM(PT!D74)</f>
        <v>0</v>
      </c>
      <c r="AG74" s="54">
        <f>SUM(CCLC!D74)</f>
        <v>0</v>
      </c>
      <c r="AH74" s="54">
        <f>SUM(FC!E74)</f>
        <v>0</v>
      </c>
      <c r="AI74" s="54">
        <v>0</v>
      </c>
      <c r="AJ74" s="54">
        <f>SUM(FS!E74)</f>
        <v>0</v>
      </c>
      <c r="AK74" s="54">
        <f>SUM(IT!E74)</f>
        <v>0</v>
      </c>
      <c r="AL74" s="67"/>
      <c r="AM74" s="60">
        <f t="shared" si="65"/>
        <v>202041.94799999997</v>
      </c>
      <c r="AO74" s="121">
        <v>137172.24</v>
      </c>
      <c r="AP74" s="288">
        <f>SUM(Sheet1!J74)</f>
        <v>138804.21905660376</v>
      </c>
    </row>
    <row r="75" spans="1:42" ht="12">
      <c r="A75" s="31" t="s">
        <v>14</v>
      </c>
      <c r="B75" s="31" t="s">
        <v>314</v>
      </c>
      <c r="C75" s="38"/>
      <c r="D75" s="54">
        <f t="shared" si="63"/>
        <v>0</v>
      </c>
      <c r="E75" s="54">
        <f t="shared" si="64"/>
        <v>0</v>
      </c>
      <c r="F75" s="38"/>
      <c r="G75" s="38"/>
      <c r="H75" s="71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67"/>
      <c r="Z75" s="54">
        <f>SUM('AC-SVC'!C75)*Z$7</f>
        <v>0</v>
      </c>
      <c r="AA75" s="54">
        <f>SUM('AC-SVC'!E75)</f>
        <v>27013.304398802022</v>
      </c>
      <c r="AB75" s="54">
        <f>SUM('AC-SVC'!H75)</f>
        <v>9335.715400000001</v>
      </c>
      <c r="AC75" s="54">
        <f>SUM('AC-SVC'!K75)</f>
        <v>0</v>
      </c>
      <c r="AD75" s="54">
        <f>SUM('AC-SVC'!N75)</f>
        <v>0</v>
      </c>
      <c r="AE75" s="54">
        <f>SUM('AC-SVC'!P75)*AE$7</f>
        <v>0</v>
      </c>
      <c r="AF75" s="54">
        <f>SUM(PT!D75)</f>
        <v>0</v>
      </c>
      <c r="AG75" s="54">
        <f>SUM(CCLC!D75)</f>
        <v>0</v>
      </c>
      <c r="AH75" s="54">
        <f>SUM(FC!E75)</f>
        <v>0</v>
      </c>
      <c r="AI75" s="54">
        <v>0</v>
      </c>
      <c r="AJ75" s="54">
        <f>SUM(FS!E75)</f>
        <v>0</v>
      </c>
      <c r="AK75" s="54">
        <f>SUM(IT!E75)</f>
        <v>0</v>
      </c>
      <c r="AL75" s="67"/>
      <c r="AM75" s="60">
        <f t="shared" si="65"/>
        <v>36349.019798802023</v>
      </c>
      <c r="AO75" s="121">
        <v>41782.17</v>
      </c>
      <c r="AP75" s="288">
        <f>SUM(Sheet1!J75)</f>
        <v>35506.420424528304</v>
      </c>
    </row>
    <row r="76" spans="1:42" ht="12">
      <c r="A76" s="31" t="s">
        <v>15</v>
      </c>
      <c r="B76" s="31" t="s">
        <v>315</v>
      </c>
      <c r="C76" s="38"/>
      <c r="D76" s="54">
        <f t="shared" si="63"/>
        <v>0</v>
      </c>
      <c r="E76" s="54">
        <f t="shared" si="64"/>
        <v>0</v>
      </c>
      <c r="F76" s="38"/>
      <c r="G76" s="38"/>
      <c r="H76" s="71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67"/>
      <c r="Z76" s="54">
        <f>SUM('AC-SVC'!C76)*Z$7</f>
        <v>0</v>
      </c>
      <c r="AA76" s="54">
        <f>SUM('AC-SVC'!E76)</f>
        <v>0</v>
      </c>
      <c r="AB76" s="54">
        <f>SUM('AC-SVC'!H76)</f>
        <v>0</v>
      </c>
      <c r="AC76" s="54">
        <f>SUM('AC-SVC'!K76)</f>
        <v>0</v>
      </c>
      <c r="AD76" s="54">
        <f>SUM('AC-SVC'!N76)</f>
        <v>0</v>
      </c>
      <c r="AE76" s="54">
        <f>SUM('AC-SVC'!P76)*AE$7</f>
        <v>0</v>
      </c>
      <c r="AF76" s="54">
        <f>SUM(PT!D76)</f>
        <v>0</v>
      </c>
      <c r="AG76" s="54">
        <f>SUM(CCLC!D76)</f>
        <v>0</v>
      </c>
      <c r="AH76" s="54">
        <f>SUM(FC!E76)</f>
        <v>0</v>
      </c>
      <c r="AI76" s="54">
        <v>0</v>
      </c>
      <c r="AJ76" s="54">
        <f>SUM(FS!E76)</f>
        <v>0</v>
      </c>
      <c r="AK76" s="54">
        <f>SUM(IT!E76)</f>
        <v>0</v>
      </c>
      <c r="AL76" s="67"/>
      <c r="AM76" s="60">
        <f t="shared" si="65"/>
        <v>0</v>
      </c>
      <c r="AO76" s="121">
        <v>26982.14</v>
      </c>
      <c r="AP76" s="288">
        <f>SUM(Sheet1!J76)</f>
        <v>20181.447594339625</v>
      </c>
    </row>
    <row r="77" spans="1:42" ht="12">
      <c r="A77" s="31" t="s">
        <v>16</v>
      </c>
      <c r="B77" s="31" t="s">
        <v>316</v>
      </c>
      <c r="C77" s="38"/>
      <c r="D77" s="54">
        <f t="shared" si="63"/>
        <v>0</v>
      </c>
      <c r="E77" s="54">
        <f t="shared" si="64"/>
        <v>0</v>
      </c>
      <c r="F77" s="47">
        <f>SUM('13-2014 Ret Emp'!I93)</f>
        <v>35936.323983661838</v>
      </c>
      <c r="G77" s="38"/>
      <c r="H77" s="71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67"/>
      <c r="Z77" s="54">
        <f>SUM('AC-SVC'!C77)*Z$7</f>
        <v>0</v>
      </c>
      <c r="AA77" s="54">
        <f>SUM('AC-SVC'!E77)</f>
        <v>0</v>
      </c>
      <c r="AB77" s="54">
        <f>SUM('AC-SVC'!H77)</f>
        <v>0</v>
      </c>
      <c r="AC77" s="54">
        <f>SUM('AC-SVC'!K77)</f>
        <v>0</v>
      </c>
      <c r="AD77" s="54">
        <f>SUM('AC-SVC'!N77)</f>
        <v>0</v>
      </c>
      <c r="AE77" s="54">
        <f>SUM('AC-SVC'!P77)*AE$7</f>
        <v>0</v>
      </c>
      <c r="AF77" s="54">
        <f>SUM(PT!D77)</f>
        <v>0</v>
      </c>
      <c r="AG77" s="54">
        <f>SUM(CCLC!D77)</f>
        <v>0</v>
      </c>
      <c r="AH77" s="54">
        <f>SUM(FC!E77)</f>
        <v>0</v>
      </c>
      <c r="AI77" s="54">
        <v>0</v>
      </c>
      <c r="AJ77" s="54">
        <f>SUM(FS!E77)</f>
        <v>0</v>
      </c>
      <c r="AK77" s="54">
        <f>SUM(IT!E77)</f>
        <v>0</v>
      </c>
      <c r="AL77" s="67"/>
      <c r="AM77" s="60">
        <f t="shared" si="65"/>
        <v>35936.323983661838</v>
      </c>
      <c r="AO77" s="121">
        <v>29895</v>
      </c>
      <c r="AP77" s="288">
        <f>SUM(Sheet1!J77)</f>
        <v>29857.492169811321</v>
      </c>
    </row>
    <row r="78" spans="1:42" ht="12">
      <c r="A78" s="31" t="s">
        <v>17</v>
      </c>
      <c r="B78" s="31" t="s">
        <v>317</v>
      </c>
      <c r="C78" s="38"/>
      <c r="D78" s="54">
        <f t="shared" si="63"/>
        <v>0</v>
      </c>
      <c r="E78" s="54">
        <f t="shared" si="64"/>
        <v>0</v>
      </c>
      <c r="F78" s="38"/>
      <c r="G78" s="38"/>
      <c r="H78" s="71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67"/>
      <c r="Z78" s="54">
        <f>SUM('AC-SVC'!C78)*Z$7</f>
        <v>0</v>
      </c>
      <c r="AA78" s="54">
        <f>SUM('AC-SVC'!E78)</f>
        <v>0</v>
      </c>
      <c r="AB78" s="54">
        <f>SUM('AC-SVC'!H78)</f>
        <v>0</v>
      </c>
      <c r="AC78" s="54">
        <f>SUM('AC-SVC'!K78)</f>
        <v>0</v>
      </c>
      <c r="AD78" s="54">
        <f>SUM('AC-SVC'!N78)</f>
        <v>0</v>
      </c>
      <c r="AE78" s="54">
        <f>SUM('AC-SVC'!P78)*AE$7</f>
        <v>0</v>
      </c>
      <c r="AF78" s="54">
        <f>SUM(PT!D78)</f>
        <v>0</v>
      </c>
      <c r="AG78" s="54">
        <f>SUM(CCLC!D78)</f>
        <v>0</v>
      </c>
      <c r="AH78" s="54">
        <f>SUM(FC!E78)</f>
        <v>18822</v>
      </c>
      <c r="AI78" s="54">
        <v>0</v>
      </c>
      <c r="AJ78" s="54">
        <f>SUM(FS!E78)</f>
        <v>33354.052110000004</v>
      </c>
      <c r="AK78" s="54">
        <f>SUM(IT!E78)</f>
        <v>0</v>
      </c>
      <c r="AL78" s="67"/>
      <c r="AM78" s="60">
        <f t="shared" si="65"/>
        <v>52176.052110000004</v>
      </c>
      <c r="AO78" s="121">
        <v>54767.96</v>
      </c>
      <c r="AP78" s="288">
        <f>SUM(Sheet1!J78)</f>
        <v>53250.561084905668</v>
      </c>
    </row>
    <row r="79" spans="1:42" ht="14.25" customHeight="1">
      <c r="A79" s="31" t="s">
        <v>18</v>
      </c>
      <c r="B79" s="31" t="s">
        <v>319</v>
      </c>
      <c r="C79" s="39"/>
      <c r="D79" s="39">
        <f t="shared" si="63"/>
        <v>0</v>
      </c>
      <c r="E79" s="39">
        <f t="shared" si="64"/>
        <v>0</v>
      </c>
      <c r="F79" s="39"/>
      <c r="G79" s="39"/>
      <c r="H79" s="73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67"/>
      <c r="Z79" s="39">
        <f>SUM('AC-SVC'!C79)*Z$7</f>
        <v>0</v>
      </c>
      <c r="AA79" s="39">
        <f>SUM('AC-SVC'!E79)</f>
        <v>0</v>
      </c>
      <c r="AB79" s="39">
        <f>SUM('AC-SVC'!H79)</f>
        <v>0</v>
      </c>
      <c r="AC79" s="39">
        <f>SUM('AC-SVC'!K79)</f>
        <v>0</v>
      </c>
      <c r="AD79" s="39">
        <f>SUM('AC-SVC'!N79)</f>
        <v>0</v>
      </c>
      <c r="AE79" s="39">
        <f>SUM('AC-SVC'!P79)*AE$7</f>
        <v>0</v>
      </c>
      <c r="AF79" s="39">
        <f>SUM(PT!D79)</f>
        <v>0</v>
      </c>
      <c r="AG79" s="39">
        <f>SUM(CCLC!D79)</f>
        <v>0</v>
      </c>
      <c r="AH79" s="39">
        <f>SUM(FC!E79)</f>
        <v>27062</v>
      </c>
      <c r="AI79" s="39">
        <v>0</v>
      </c>
      <c r="AJ79" s="39">
        <f>SUM(FS!E79)</f>
        <v>0</v>
      </c>
      <c r="AK79" s="39">
        <f>SUM(IT!E79)</f>
        <v>0</v>
      </c>
      <c r="AL79" s="67"/>
      <c r="AM79" s="59">
        <f t="shared" si="65"/>
        <v>27062</v>
      </c>
      <c r="AO79" s="122">
        <v>27813.02</v>
      </c>
      <c r="AP79" s="289">
        <f>SUM(Sheet1!J79)</f>
        <v>29170.402877358491</v>
      </c>
    </row>
    <row r="80" spans="1:42" ht="10">
      <c r="B80" s="31" t="s">
        <v>24</v>
      </c>
      <c r="C80" s="38">
        <f>SUM(C72:C79)</f>
        <v>0</v>
      </c>
      <c r="D80" s="38">
        <f t="shared" ref="D80:G80" si="66">SUM(D72:D79)</f>
        <v>188092.63475468749</v>
      </c>
      <c r="E80" s="38">
        <f t="shared" si="66"/>
        <v>538791.62687499996</v>
      </c>
      <c r="F80" s="38">
        <f t="shared" si="66"/>
        <v>107235.13398366183</v>
      </c>
      <c r="G80" s="38">
        <f t="shared" si="66"/>
        <v>0</v>
      </c>
      <c r="H80" s="71"/>
      <c r="I80" s="38">
        <f t="shared" ref="I80" si="67">SUM(I72:I79)</f>
        <v>57752.974000000002</v>
      </c>
      <c r="J80" s="38">
        <f t="shared" ref="J80:K80" si="68">SUM(J72:J79)</f>
        <v>65571.660754687487</v>
      </c>
      <c r="K80" s="38">
        <f t="shared" si="68"/>
        <v>64768</v>
      </c>
      <c r="L80" s="38">
        <f t="shared" ref="L80" si="69">SUM(L72:L79)</f>
        <v>65173.974000000002</v>
      </c>
      <c r="M80" s="38">
        <f t="shared" ref="M80" si="70">SUM(M72:M79)</f>
        <v>62198.607499999998</v>
      </c>
      <c r="N80" s="38">
        <f t="shared" ref="N80" si="71">SUM(N72:N79)</f>
        <v>65829</v>
      </c>
      <c r="O80" s="38">
        <f t="shared" ref="O80" si="72">SUM(O72:O79)</f>
        <v>67278</v>
      </c>
      <c r="P80" s="38">
        <f t="shared" ref="P80" si="73">SUM(P72:P79)</f>
        <v>63799</v>
      </c>
      <c r="Q80" s="38">
        <f t="shared" ref="Q80:R80" si="74">SUM(Q72:Q79)</f>
        <v>63799</v>
      </c>
      <c r="R80" s="38">
        <f t="shared" si="74"/>
        <v>0</v>
      </c>
      <c r="S80" s="38">
        <f t="shared" ref="S80" si="75">SUM(S72:S79)</f>
        <v>41365.522687499993</v>
      </c>
      <c r="T80" s="38">
        <f t="shared" ref="T80" si="76">SUM(T72:T79)</f>
        <v>41365.522687499993</v>
      </c>
      <c r="U80" s="38">
        <f t="shared" ref="U80" si="77">SUM(U72:U79)</f>
        <v>0</v>
      </c>
      <c r="V80" s="38">
        <f t="shared" ref="V80" si="78">SUM(V72:V79)</f>
        <v>33572</v>
      </c>
      <c r="W80" s="38">
        <f t="shared" ref="W80" si="79">SUM(W72:W79)</f>
        <v>0</v>
      </c>
      <c r="X80" s="38">
        <f t="shared" ref="X80" si="80">SUM(X72:X79)</f>
        <v>34411</v>
      </c>
      <c r="Y80" s="67"/>
      <c r="Z80" s="47">
        <f t="shared" ref="Z80:AE80" si="81">SUM(Z72:Z79)</f>
        <v>0</v>
      </c>
      <c r="AA80" s="47">
        <f t="shared" si="81"/>
        <v>27013.304398802022</v>
      </c>
      <c r="AB80" s="47">
        <f t="shared" si="81"/>
        <v>9335.715400000001</v>
      </c>
      <c r="AC80" s="47">
        <f t="shared" si="81"/>
        <v>0</v>
      </c>
      <c r="AD80" s="47">
        <f t="shared" si="81"/>
        <v>19936.150000000001</v>
      </c>
      <c r="AE80" s="47">
        <f t="shared" si="81"/>
        <v>0</v>
      </c>
      <c r="AF80" s="38">
        <f>+SUM(AF72:AF79)</f>
        <v>19022.04</v>
      </c>
      <c r="AG80" s="38">
        <f>+SUM(AG72:AG79)</f>
        <v>0</v>
      </c>
      <c r="AH80" s="38">
        <f>+SUM(AH72:AH79)</f>
        <v>45884</v>
      </c>
      <c r="AI80" s="38">
        <f t="shared" ref="AI80" si="82">+SUM(AI72:AI79)</f>
        <v>0</v>
      </c>
      <c r="AJ80" s="38">
        <f>+SUM(AJ72:AJ79)</f>
        <v>33354.052110000004</v>
      </c>
      <c r="AK80" s="38">
        <f t="shared" ref="AK80" si="83">+SUM(AK72:AK79)</f>
        <v>0</v>
      </c>
      <c r="AL80" s="67"/>
      <c r="AM80" s="50">
        <f>SUM(AM72:AM79)</f>
        <v>988664.65752215136</v>
      </c>
      <c r="AO80" s="120">
        <f>SUM(AO72:AO79)</f>
        <v>725995.04</v>
      </c>
      <c r="AP80" s="278">
        <f>SUM(AP72:AP79)</f>
        <v>1092538.9637264151</v>
      </c>
    </row>
    <row r="81" spans="1:42">
      <c r="C81" s="38"/>
      <c r="D81" s="38"/>
      <c r="E81" s="38"/>
      <c r="F81" s="38"/>
      <c r="G81" s="38"/>
      <c r="H81" s="71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67"/>
      <c r="Z81" s="38"/>
      <c r="AA81" s="47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67"/>
      <c r="AM81" s="50"/>
      <c r="AO81" s="120"/>
    </row>
    <row r="82" spans="1:42">
      <c r="C82" s="38"/>
      <c r="D82" s="38"/>
      <c r="E82" s="38"/>
      <c r="F82" s="38"/>
      <c r="G82" s="38"/>
      <c r="H82" s="71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67"/>
      <c r="Z82" s="38"/>
      <c r="AA82" s="47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67"/>
      <c r="AM82" s="50"/>
      <c r="AO82" s="120"/>
    </row>
    <row r="83" spans="1:42">
      <c r="A83" s="36" t="s">
        <v>322</v>
      </c>
      <c r="C83" s="38"/>
      <c r="D83" s="38"/>
      <c r="E83" s="38"/>
      <c r="F83" s="38"/>
      <c r="G83" s="38"/>
      <c r="H83" s="71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67"/>
      <c r="Z83" s="38"/>
      <c r="AA83" s="47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67"/>
      <c r="AM83" s="50"/>
      <c r="AO83" s="120"/>
    </row>
    <row r="84" spans="1:42" ht="12">
      <c r="A84" s="31" t="s">
        <v>20</v>
      </c>
      <c r="B84" s="31" t="s">
        <v>321</v>
      </c>
      <c r="C84" s="38"/>
      <c r="D84" s="54">
        <f t="shared" ref="D84:D87" si="84">SUM(I84:K84)</f>
        <v>840</v>
      </c>
      <c r="E84" s="54">
        <f t="shared" ref="E84:E87" si="85">+SUM(L84:X84)</f>
        <v>3360</v>
      </c>
      <c r="F84" s="38"/>
      <c r="G84" s="38"/>
      <c r="H84" s="71"/>
      <c r="I84" s="38">
        <f>40*7</f>
        <v>280</v>
      </c>
      <c r="J84" s="38">
        <f>40*7</f>
        <v>280</v>
      </c>
      <c r="K84" s="38">
        <f>40*7</f>
        <v>280</v>
      </c>
      <c r="L84" s="38">
        <f t="shared" ref="L84:S84" si="86">40*7</f>
        <v>280</v>
      </c>
      <c r="M84" s="38">
        <f t="shared" si="86"/>
        <v>280</v>
      </c>
      <c r="N84" s="38">
        <f t="shared" si="86"/>
        <v>280</v>
      </c>
      <c r="O84" s="38">
        <f t="shared" si="86"/>
        <v>280</v>
      </c>
      <c r="P84" s="38">
        <f t="shared" si="86"/>
        <v>280</v>
      </c>
      <c r="Q84" s="38">
        <f t="shared" si="86"/>
        <v>280</v>
      </c>
      <c r="R84" s="38">
        <f t="shared" si="86"/>
        <v>280</v>
      </c>
      <c r="S84" s="38">
        <f t="shared" si="86"/>
        <v>280</v>
      </c>
      <c r="T84" s="38">
        <f>40*7</f>
        <v>280</v>
      </c>
      <c r="U84" s="38"/>
      <c r="V84" s="38">
        <f>40*7</f>
        <v>280</v>
      </c>
      <c r="W84" s="38">
        <f>40*7</f>
        <v>280</v>
      </c>
      <c r="X84" s="38">
        <f>40*7</f>
        <v>280</v>
      </c>
      <c r="Y84" s="67"/>
      <c r="Z84" s="54">
        <f>SUM('AC-SVC'!C84)*Z$7</f>
        <v>0</v>
      </c>
      <c r="AA84" s="54">
        <f>SUM('AC-SVC'!E84)</f>
        <v>0</v>
      </c>
      <c r="AB84" s="54">
        <f>SUM('AC-SVC'!H84)</f>
        <v>0</v>
      </c>
      <c r="AC84" s="54">
        <f>SUM('AC-SVC'!K84)</f>
        <v>0</v>
      </c>
      <c r="AD84" s="54">
        <f>SUM('AC-SVC'!N84)</f>
        <v>0</v>
      </c>
      <c r="AE84" s="54">
        <f>SUM('AC-SVC'!P84)*AE$7</f>
        <v>0</v>
      </c>
      <c r="AF84" s="54">
        <f>SUM(PT!D84)</f>
        <v>0</v>
      </c>
      <c r="AG84" s="54">
        <f>SUM(CCLC!D84)</f>
        <v>0</v>
      </c>
      <c r="AH84" s="54">
        <f>SUM(FC!E84)</f>
        <v>0</v>
      </c>
      <c r="AI84" s="54">
        <v>0</v>
      </c>
      <c r="AJ84" s="54">
        <f>SUM(FS!E84)</f>
        <v>1400</v>
      </c>
      <c r="AK84" s="54">
        <f>SUM(IT!E84)</f>
        <v>0</v>
      </c>
      <c r="AL84" s="67"/>
      <c r="AM84" s="60">
        <f>SUM(C84:G84)+SUM(Z84:AK84)</f>
        <v>5600</v>
      </c>
      <c r="AO84" s="121">
        <v>1528.86</v>
      </c>
      <c r="AP84" s="288">
        <f>SUM(Sheet1!J84)</f>
        <v>8636.1281132075474</v>
      </c>
    </row>
    <row r="85" spans="1:42" ht="12">
      <c r="A85" s="31" t="s">
        <v>21</v>
      </c>
      <c r="B85" s="31" t="s">
        <v>322</v>
      </c>
      <c r="C85" s="38"/>
      <c r="D85" s="54">
        <f t="shared" si="84"/>
        <v>0</v>
      </c>
      <c r="E85" s="54">
        <f t="shared" si="85"/>
        <v>0</v>
      </c>
      <c r="F85" s="47"/>
      <c r="G85" s="38"/>
      <c r="H85" s="71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67"/>
      <c r="Z85" s="54">
        <f>SUM('AC-SVC'!C85)*Z$7</f>
        <v>0</v>
      </c>
      <c r="AA85" s="54">
        <f>SUM('AC-SVC'!E85)</f>
        <v>0</v>
      </c>
      <c r="AB85" s="54">
        <f>SUM('AC-SVC'!H85)</f>
        <v>0</v>
      </c>
      <c r="AC85" s="54">
        <f>SUM('AC-SVC'!K85)</f>
        <v>0</v>
      </c>
      <c r="AD85" s="54">
        <f>SUM('AC-SVC'!N85)</f>
        <v>0</v>
      </c>
      <c r="AE85" s="54">
        <f>SUM('AC-SVC'!P85)*AE$7</f>
        <v>0</v>
      </c>
      <c r="AF85" s="54">
        <f>SUM(PT!D85)</f>
        <v>0</v>
      </c>
      <c r="AG85" s="54">
        <f>SUM(CCLC!D85)</f>
        <v>0</v>
      </c>
      <c r="AH85" s="54">
        <f>SUM(FC!E85)</f>
        <v>4000</v>
      </c>
      <c r="AI85" s="54">
        <v>0</v>
      </c>
      <c r="AJ85" s="54">
        <f>SUM(FS!E85)</f>
        <v>750</v>
      </c>
      <c r="AK85" s="54">
        <f>SUM(IT!E85)</f>
        <v>0</v>
      </c>
      <c r="AL85" s="67"/>
      <c r="AM85" s="60">
        <f>SUM(C85:G85)+SUM(Z85:AK85)</f>
        <v>4750</v>
      </c>
      <c r="AO85" s="121">
        <v>283.5</v>
      </c>
      <c r="AP85" s="288">
        <f>SUM(Sheet1!J85)</f>
        <v>187.41509433962264</v>
      </c>
    </row>
    <row r="86" spans="1:42" ht="12">
      <c r="A86" s="31" t="s">
        <v>406</v>
      </c>
      <c r="B86" s="31" t="s">
        <v>407</v>
      </c>
      <c r="C86" s="38"/>
      <c r="D86" s="54">
        <f t="shared" si="84"/>
        <v>0</v>
      </c>
      <c r="E86" s="54">
        <f t="shared" si="85"/>
        <v>0</v>
      </c>
      <c r="F86" s="38"/>
      <c r="G86" s="38"/>
      <c r="H86" s="71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67"/>
      <c r="Z86" s="54">
        <f>SUM('AC-SVC'!C86)*Z$7</f>
        <v>0</v>
      </c>
      <c r="AA86" s="54">
        <f>SUM('AC-SVC'!E86)</f>
        <v>0</v>
      </c>
      <c r="AB86" s="54">
        <f>SUM('AC-SVC'!H86)</f>
        <v>0</v>
      </c>
      <c r="AC86" s="54">
        <f>SUM('AC-SVC'!K86)</f>
        <v>0</v>
      </c>
      <c r="AD86" s="54">
        <f>SUM('AC-SVC'!N86)</f>
        <v>0</v>
      </c>
      <c r="AE86" s="54">
        <f>SUM('AC-SVC'!P86)*AE$7</f>
        <v>0</v>
      </c>
      <c r="AF86" s="54">
        <f>SUM(PT!D86)</f>
        <v>0</v>
      </c>
      <c r="AG86" s="54">
        <f>SUM(CCLC!D86)</f>
        <v>0</v>
      </c>
      <c r="AH86" s="54">
        <f>SUM(FC!E86)</f>
        <v>0</v>
      </c>
      <c r="AI86" s="54">
        <v>0</v>
      </c>
      <c r="AJ86" s="54">
        <f>SUM(FS!E86)</f>
        <v>0</v>
      </c>
      <c r="AK86" s="54">
        <f>SUM(IT!E86)</f>
        <v>0</v>
      </c>
      <c r="AL86" s="67"/>
      <c r="AM86" s="60">
        <f>SUM(C86:G86)+SUM(Z86:AK86)</f>
        <v>0</v>
      </c>
      <c r="AO86" s="121"/>
      <c r="AP86" s="288">
        <f>SUM(Sheet1!J86)</f>
        <v>0</v>
      </c>
    </row>
    <row r="87" spans="1:42" ht="12">
      <c r="A87" s="31" t="s">
        <v>22</v>
      </c>
      <c r="B87" s="31" t="s">
        <v>23</v>
      </c>
      <c r="C87" s="39"/>
      <c r="D87" s="39">
        <f t="shared" si="84"/>
        <v>4000</v>
      </c>
      <c r="E87" s="39">
        <f t="shared" si="85"/>
        <v>18000</v>
      </c>
      <c r="F87" s="39"/>
      <c r="G87" s="39">
        <v>10000</v>
      </c>
      <c r="H87" s="73"/>
      <c r="I87" s="39">
        <v>4000</v>
      </c>
      <c r="J87" s="39"/>
      <c r="K87" s="39"/>
      <c r="L87" s="39"/>
      <c r="M87" s="39"/>
      <c r="N87" s="39"/>
      <c r="O87" s="39">
        <v>6000</v>
      </c>
      <c r="P87" s="39">
        <v>6000</v>
      </c>
      <c r="Q87" s="39">
        <v>6000</v>
      </c>
      <c r="R87" s="39"/>
      <c r="S87" s="39"/>
      <c r="T87" s="39"/>
      <c r="U87" s="39"/>
      <c r="V87" s="39"/>
      <c r="W87" s="39"/>
      <c r="X87" s="39"/>
      <c r="Y87" s="67"/>
      <c r="Z87" s="39">
        <f>SUM('AC-SVC'!C87)*Z$7</f>
        <v>0</v>
      </c>
      <c r="AA87" s="39">
        <f>SUM('AC-SVC'!E87)</f>
        <v>0</v>
      </c>
      <c r="AB87" s="39">
        <f>SUM('AC-SVC'!H87)</f>
        <v>0</v>
      </c>
      <c r="AC87" s="39">
        <f>SUM('AC-SVC'!K87)</f>
        <v>0</v>
      </c>
      <c r="AD87" s="39">
        <f>SUM('AC-SVC'!N87)</f>
        <v>0</v>
      </c>
      <c r="AE87" s="39">
        <f>SUM('AC-SVC'!P87)*AE$7</f>
        <v>0</v>
      </c>
      <c r="AF87" s="39">
        <f>SUM(PT!D87)</f>
        <v>0</v>
      </c>
      <c r="AG87" s="39">
        <f>SUM(CCLC!D87)</f>
        <v>0</v>
      </c>
      <c r="AH87" s="39">
        <f>SUM(FC!E87)</f>
        <v>1000</v>
      </c>
      <c r="AI87" s="39">
        <v>0</v>
      </c>
      <c r="AJ87" s="39">
        <f>SUM(FS!E87)</f>
        <v>0</v>
      </c>
      <c r="AK87" s="39">
        <f>SUM(IT!E87)</f>
        <v>0</v>
      </c>
      <c r="AL87" s="67"/>
      <c r="AM87" s="59">
        <f>SUM(C87:G87)+SUM(Z87:AK87)</f>
        <v>33000</v>
      </c>
      <c r="AO87" s="122">
        <v>12000</v>
      </c>
      <c r="AP87" s="289">
        <f>SUM(Sheet1!J87)</f>
        <v>8269.7498584905661</v>
      </c>
    </row>
    <row r="88" spans="1:42" ht="10">
      <c r="B88" s="31" t="s">
        <v>323</v>
      </c>
      <c r="C88" s="38">
        <f>SUM(C84:C87)</f>
        <v>0</v>
      </c>
      <c r="D88" s="38">
        <f t="shared" ref="D88:G88" si="87">SUM(D84:D87)</f>
        <v>4840</v>
      </c>
      <c r="E88" s="38">
        <f t="shared" si="87"/>
        <v>21360</v>
      </c>
      <c r="F88" s="38">
        <f t="shared" si="87"/>
        <v>0</v>
      </c>
      <c r="G88" s="38">
        <f t="shared" si="87"/>
        <v>10000</v>
      </c>
      <c r="H88" s="71"/>
      <c r="I88" s="38">
        <f t="shared" ref="I88" si="88">SUM(I84:I87)</f>
        <v>4280</v>
      </c>
      <c r="J88" s="38">
        <f t="shared" ref="J88:K88" si="89">SUM(J84:J87)</f>
        <v>280</v>
      </c>
      <c r="K88" s="38">
        <f t="shared" si="89"/>
        <v>280</v>
      </c>
      <c r="L88" s="38">
        <f t="shared" ref="L88" si="90">SUM(L84:L87)</f>
        <v>280</v>
      </c>
      <c r="M88" s="38">
        <f t="shared" ref="M88" si="91">SUM(M84:M87)</f>
        <v>280</v>
      </c>
      <c r="N88" s="38">
        <f t="shared" ref="N88" si="92">SUM(N84:N87)</f>
        <v>280</v>
      </c>
      <c r="O88" s="38">
        <f t="shared" ref="O88" si="93">SUM(O84:O87)</f>
        <v>6280</v>
      </c>
      <c r="P88" s="38">
        <f t="shared" ref="P88" si="94">SUM(P84:P87)</f>
        <v>6280</v>
      </c>
      <c r="Q88" s="38">
        <f t="shared" ref="Q88:R88" si="95">SUM(Q84:Q87)</f>
        <v>6280</v>
      </c>
      <c r="R88" s="38">
        <f t="shared" si="95"/>
        <v>280</v>
      </c>
      <c r="S88" s="38">
        <f t="shared" ref="S88" si="96">SUM(S84:S87)</f>
        <v>280</v>
      </c>
      <c r="T88" s="38">
        <f t="shared" ref="T88" si="97">SUM(T84:T87)</f>
        <v>280</v>
      </c>
      <c r="U88" s="38">
        <f t="shared" ref="U88" si="98">SUM(U84:U87)</f>
        <v>0</v>
      </c>
      <c r="V88" s="38">
        <f t="shared" ref="V88" si="99">SUM(V84:V87)</f>
        <v>280</v>
      </c>
      <c r="W88" s="38">
        <f t="shared" ref="W88" si="100">SUM(W84:W87)</f>
        <v>280</v>
      </c>
      <c r="X88" s="38">
        <f t="shared" ref="X88" si="101">SUM(X84:X87)</f>
        <v>280</v>
      </c>
      <c r="Y88" s="67"/>
      <c r="Z88" s="38">
        <f t="shared" ref="Z88:AD88" si="102">+SUM(Z84:Z87)</f>
        <v>0</v>
      </c>
      <c r="AA88" s="47">
        <f t="shared" si="102"/>
        <v>0</v>
      </c>
      <c r="AB88" s="38">
        <f t="shared" si="102"/>
        <v>0</v>
      </c>
      <c r="AC88" s="38">
        <f t="shared" si="102"/>
        <v>0</v>
      </c>
      <c r="AD88" s="38">
        <f t="shared" si="102"/>
        <v>0</v>
      </c>
      <c r="AE88" s="38">
        <f t="shared" ref="AE88" si="103">+SUM(AE84:AE87)</f>
        <v>0</v>
      </c>
      <c r="AF88" s="38">
        <f>+SUM(AF84:AF87)</f>
        <v>0</v>
      </c>
      <c r="AG88" s="38">
        <f>+SUM(AG84:AG87)</f>
        <v>0</v>
      </c>
      <c r="AH88" s="38">
        <f>+SUM(AH84:AH87)</f>
        <v>5000</v>
      </c>
      <c r="AI88" s="38">
        <f t="shared" ref="AI88" si="104">+SUM(AI84:AI87)</f>
        <v>0</v>
      </c>
      <c r="AJ88" s="38">
        <f>+SUM(AJ84:AJ87)</f>
        <v>2150</v>
      </c>
      <c r="AK88" s="38">
        <f>+SUM(AK84:AK87)</f>
        <v>0</v>
      </c>
      <c r="AL88" s="67"/>
      <c r="AM88" s="50">
        <f>SUM(AM84:AM87)</f>
        <v>43350</v>
      </c>
      <c r="AO88" s="120">
        <f>SUM(AO84:AO87)</f>
        <v>13812.36</v>
      </c>
      <c r="AP88" s="278">
        <f>SUM(AP84:AP87)</f>
        <v>17093.293066037739</v>
      </c>
    </row>
    <row r="89" spans="1:42">
      <c r="C89" s="38"/>
      <c r="D89" s="38"/>
      <c r="E89" s="38"/>
      <c r="F89" s="38"/>
      <c r="G89" s="38"/>
      <c r="H89" s="71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67"/>
      <c r="Z89" s="38"/>
      <c r="AA89" s="47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67"/>
      <c r="AM89" s="50"/>
      <c r="AO89" s="120"/>
    </row>
    <row r="90" spans="1:42" ht="12">
      <c r="B90" s="31" t="s">
        <v>324</v>
      </c>
      <c r="C90" s="38">
        <f>SUM(C80+C88)</f>
        <v>0</v>
      </c>
      <c r="D90" s="38">
        <f t="shared" ref="D90:X90" si="105">SUM(D80+D88)</f>
        <v>192932.63475468749</v>
      </c>
      <c r="E90" s="38">
        <f t="shared" si="105"/>
        <v>560151.62687499996</v>
      </c>
      <c r="F90" s="38">
        <f t="shared" si="105"/>
        <v>107235.13398366183</v>
      </c>
      <c r="G90" s="38">
        <f t="shared" si="105"/>
        <v>10000</v>
      </c>
      <c r="H90" s="71"/>
      <c r="I90" s="38">
        <f t="shared" si="105"/>
        <v>62032.974000000002</v>
      </c>
      <c r="J90" s="38">
        <f t="shared" si="105"/>
        <v>65851.660754687487</v>
      </c>
      <c r="K90" s="38">
        <f t="shared" ref="K90" si="106">SUM(K80+K88)</f>
        <v>65048</v>
      </c>
      <c r="L90" s="38">
        <f t="shared" si="105"/>
        <v>65453.974000000002</v>
      </c>
      <c r="M90" s="38">
        <f t="shared" si="105"/>
        <v>62478.607499999998</v>
      </c>
      <c r="N90" s="38">
        <f t="shared" si="105"/>
        <v>66109</v>
      </c>
      <c r="O90" s="38">
        <f t="shared" si="105"/>
        <v>73558</v>
      </c>
      <c r="P90" s="38">
        <f t="shared" si="105"/>
        <v>70079</v>
      </c>
      <c r="Q90" s="38">
        <f>SUM(Q80+Q88)</f>
        <v>70079</v>
      </c>
      <c r="R90" s="38">
        <f>SUM(R80+R88)</f>
        <v>280</v>
      </c>
      <c r="S90" s="38">
        <f t="shared" si="105"/>
        <v>41645.522687499993</v>
      </c>
      <c r="T90" s="38">
        <f t="shared" si="105"/>
        <v>41645.522687499993</v>
      </c>
      <c r="U90" s="38">
        <f t="shared" si="105"/>
        <v>0</v>
      </c>
      <c r="V90" s="38">
        <f t="shared" si="105"/>
        <v>33852</v>
      </c>
      <c r="W90" s="38">
        <f t="shared" si="105"/>
        <v>280</v>
      </c>
      <c r="X90" s="38">
        <f t="shared" si="105"/>
        <v>34691</v>
      </c>
      <c r="Y90" s="67"/>
      <c r="Z90" s="47">
        <f t="shared" ref="Z90:AE90" si="107">SUM(Z80+Z88)</f>
        <v>0</v>
      </c>
      <c r="AA90" s="47">
        <f t="shared" si="107"/>
        <v>27013.304398802022</v>
      </c>
      <c r="AB90" s="47">
        <f t="shared" si="107"/>
        <v>9335.715400000001</v>
      </c>
      <c r="AC90" s="47">
        <f t="shared" si="107"/>
        <v>0</v>
      </c>
      <c r="AD90" s="47">
        <f t="shared" si="107"/>
        <v>19936.150000000001</v>
      </c>
      <c r="AE90" s="47">
        <f t="shared" si="107"/>
        <v>0</v>
      </c>
      <c r="AF90" s="38">
        <f t="shared" ref="AF90:AK90" si="108">+AF80+AF88</f>
        <v>19022.04</v>
      </c>
      <c r="AG90" s="38">
        <f t="shared" si="108"/>
        <v>0</v>
      </c>
      <c r="AH90" s="38">
        <f t="shared" si="108"/>
        <v>50884</v>
      </c>
      <c r="AI90" s="38">
        <f t="shared" si="108"/>
        <v>0</v>
      </c>
      <c r="AJ90" s="38">
        <f t="shared" si="108"/>
        <v>35504.052110000004</v>
      </c>
      <c r="AK90" s="38">
        <f t="shared" si="108"/>
        <v>0</v>
      </c>
      <c r="AL90" s="67"/>
      <c r="AM90" s="40">
        <f>+AM80+AM88</f>
        <v>1032014.6575221514</v>
      </c>
      <c r="AO90" s="120">
        <f>SUM(AO80+AO88)</f>
        <v>739807.4</v>
      </c>
      <c r="AP90" s="280">
        <f>SUM(AP80+AP88)</f>
        <v>1109632.2567924529</v>
      </c>
    </row>
    <row r="91" spans="1:42">
      <c r="C91" s="38"/>
      <c r="D91" s="38"/>
      <c r="E91" s="38"/>
      <c r="F91" s="38"/>
      <c r="G91" s="38"/>
      <c r="H91" s="71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67"/>
      <c r="Z91" s="38"/>
      <c r="AA91" s="47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67"/>
      <c r="AM91" s="50"/>
      <c r="AO91" s="120"/>
    </row>
    <row r="92" spans="1:42">
      <c r="A92" s="31" t="s">
        <v>325</v>
      </c>
      <c r="C92" s="38"/>
      <c r="D92" s="38"/>
      <c r="E92" s="38"/>
      <c r="F92" s="38"/>
      <c r="G92" s="38"/>
      <c r="H92" s="71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67"/>
      <c r="Z92" s="38"/>
      <c r="AA92" s="47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67"/>
      <c r="AM92" s="50"/>
      <c r="AO92" s="120"/>
    </row>
    <row r="93" spans="1:42" ht="12">
      <c r="A93" s="31" t="s">
        <v>25</v>
      </c>
      <c r="B93" s="31" t="s">
        <v>33</v>
      </c>
      <c r="C93" s="38"/>
      <c r="D93" s="38">
        <f>SUM(I93:K93)</f>
        <v>21113.567999999999</v>
      </c>
      <c r="E93" s="38">
        <f t="shared" ref="E93:E99" si="109">+SUM(L93:X93)</f>
        <v>56302.847999999998</v>
      </c>
      <c r="F93" s="38">
        <f>+F$7*139.64*2*1.05*12</f>
        <v>7037.8559999999998</v>
      </c>
      <c r="G93" s="38">
        <f>+G$7*139.64*2*1.05*12</f>
        <v>0</v>
      </c>
      <c r="H93" s="71"/>
      <c r="I93" s="38">
        <f t="shared" ref="I93:X93" si="110">+I$7*139.64*2*1.05*12</f>
        <v>7037.8559999999998</v>
      </c>
      <c r="J93" s="38">
        <f t="shared" si="110"/>
        <v>7037.8559999999998</v>
      </c>
      <c r="K93" s="38">
        <f t="shared" si="110"/>
        <v>7037.8559999999998</v>
      </c>
      <c r="L93" s="38">
        <f t="shared" si="110"/>
        <v>7037.8559999999998</v>
      </c>
      <c r="M93" s="38">
        <f t="shared" si="110"/>
        <v>7037.8559999999998</v>
      </c>
      <c r="N93" s="38">
        <f t="shared" si="110"/>
        <v>7037.8559999999998</v>
      </c>
      <c r="O93" s="38">
        <f t="shared" si="110"/>
        <v>7037.8559999999998</v>
      </c>
      <c r="P93" s="38">
        <f t="shared" si="110"/>
        <v>7037.8559999999998</v>
      </c>
      <c r="Q93" s="38">
        <f>+Q$7*139.64*2*1.05*12</f>
        <v>7037.8559999999998</v>
      </c>
      <c r="R93" s="38">
        <f>+R$7*139.64*2*1.05*12</f>
        <v>0</v>
      </c>
      <c r="S93" s="38">
        <f t="shared" si="110"/>
        <v>3518.9279999999999</v>
      </c>
      <c r="T93" s="38">
        <f t="shared" si="110"/>
        <v>3518.9279999999999</v>
      </c>
      <c r="U93" s="38">
        <f t="shared" si="110"/>
        <v>0</v>
      </c>
      <c r="V93" s="38">
        <f t="shared" si="110"/>
        <v>3518.9279999999999</v>
      </c>
      <c r="W93" s="38">
        <f t="shared" si="110"/>
        <v>0</v>
      </c>
      <c r="X93" s="38">
        <f t="shared" si="110"/>
        <v>3518.9279999999999</v>
      </c>
      <c r="Y93" s="67"/>
      <c r="Z93" s="54">
        <f>SUM('AC-SVC'!C93)*Z$7</f>
        <v>0</v>
      </c>
      <c r="AA93" s="54">
        <f>SUM('AC-SVC'!E93)</f>
        <v>1759.4639999999999</v>
      </c>
      <c r="AB93" s="54">
        <f>SUM('AC-SVC'!H93)</f>
        <v>703.78559999999993</v>
      </c>
      <c r="AC93" s="54">
        <f>SUM('AC-SVC'!K93)</f>
        <v>0</v>
      </c>
      <c r="AD93" s="54">
        <f>SUM('AC-SVC'!N93)</f>
        <v>1759.4639999999999</v>
      </c>
      <c r="AE93" s="54">
        <f>SUM('AC-SVC'!P93)*AE$7</f>
        <v>0</v>
      </c>
      <c r="AF93" s="54">
        <f>SUM(PT!D93)</f>
        <v>0</v>
      </c>
      <c r="AG93" s="54">
        <f>SUM(CCLC!D93)</f>
        <v>0</v>
      </c>
      <c r="AH93" s="54">
        <f>SUM(FC!E93)</f>
        <v>7037.8559999999998</v>
      </c>
      <c r="AI93" s="54">
        <v>0</v>
      </c>
      <c r="AJ93" s="54">
        <f>SUM(FS!E93)</f>
        <v>7037.8559999999998</v>
      </c>
      <c r="AK93" s="54">
        <f>SUM(IT!E93)</f>
        <v>0</v>
      </c>
      <c r="AL93" s="67"/>
      <c r="AM93" s="60">
        <f t="shared" ref="AM93:AM101" si="111">SUM(C93:G93)+SUM(Z93:AK93)</f>
        <v>102752.6976</v>
      </c>
      <c r="AO93" s="121">
        <v>51601.91</v>
      </c>
      <c r="AP93" s="288">
        <f>SUM(Sheet1!J93)</f>
        <v>67595.730235849056</v>
      </c>
    </row>
    <row r="94" spans="1:42" ht="12">
      <c r="A94" s="31" t="s">
        <v>26</v>
      </c>
      <c r="B94" s="31" t="s">
        <v>34</v>
      </c>
      <c r="C94" s="38"/>
      <c r="D94" s="38">
        <f>SUM(I94:K94)</f>
        <v>1283.7311999999999</v>
      </c>
      <c r="E94" s="38">
        <f t="shared" si="109"/>
        <v>3423.2831999999989</v>
      </c>
      <c r="F94" s="38">
        <f>+F$7*8.74*2*1.02*12</f>
        <v>427.91039999999998</v>
      </c>
      <c r="G94" s="38">
        <f>+G$7*8.74*2*1.02*12</f>
        <v>0</v>
      </c>
      <c r="H94" s="71"/>
      <c r="I94" s="38">
        <f t="shared" ref="I94:X94" si="112">+I$7*8.74*2*1.02*12</f>
        <v>427.91039999999998</v>
      </c>
      <c r="J94" s="38">
        <f t="shared" si="112"/>
        <v>427.91039999999998</v>
      </c>
      <c r="K94" s="38">
        <f t="shared" si="112"/>
        <v>427.91039999999998</v>
      </c>
      <c r="L94" s="38">
        <f t="shared" si="112"/>
        <v>427.91039999999998</v>
      </c>
      <c r="M94" s="38">
        <f t="shared" si="112"/>
        <v>427.91039999999998</v>
      </c>
      <c r="N94" s="38">
        <f t="shared" si="112"/>
        <v>427.91039999999998</v>
      </c>
      <c r="O94" s="38">
        <f t="shared" si="112"/>
        <v>427.91039999999998</v>
      </c>
      <c r="P94" s="38">
        <f t="shared" si="112"/>
        <v>427.91039999999998</v>
      </c>
      <c r="Q94" s="38">
        <f>+Q$7*8.74*2*1.02*12</f>
        <v>427.91039999999998</v>
      </c>
      <c r="R94" s="38">
        <f>+R$7*8.74*2*1.02*12</f>
        <v>0</v>
      </c>
      <c r="S94" s="38">
        <f t="shared" si="112"/>
        <v>213.95519999999999</v>
      </c>
      <c r="T94" s="38">
        <f t="shared" si="112"/>
        <v>213.95519999999999</v>
      </c>
      <c r="U94" s="38">
        <f t="shared" si="112"/>
        <v>0</v>
      </c>
      <c r="V94" s="38">
        <f t="shared" si="112"/>
        <v>213.95519999999999</v>
      </c>
      <c r="W94" s="38">
        <f t="shared" si="112"/>
        <v>0</v>
      </c>
      <c r="X94" s="38">
        <f t="shared" si="112"/>
        <v>213.95519999999999</v>
      </c>
      <c r="Y94" s="67"/>
      <c r="Z94" s="54">
        <f>SUM('AC-SVC'!C94)*Z$7</f>
        <v>0</v>
      </c>
      <c r="AA94" s="54">
        <f>SUM('AC-SVC'!E94)</f>
        <v>106.9776</v>
      </c>
      <c r="AB94" s="54">
        <f>SUM('AC-SVC'!H94)</f>
        <v>28.669996800000007</v>
      </c>
      <c r="AC94" s="54">
        <f>SUM('AC-SVC'!K94)</f>
        <v>0</v>
      </c>
      <c r="AD94" s="54">
        <f>SUM('AC-SVC'!N94)</f>
        <v>71.674992000000003</v>
      </c>
      <c r="AE94" s="54">
        <f>SUM('AC-SVC'!P94)*AE$7</f>
        <v>0</v>
      </c>
      <c r="AF94" s="54">
        <f>SUM(PT!D94)</f>
        <v>0</v>
      </c>
      <c r="AG94" s="54">
        <f>SUM(CCLC!D94)</f>
        <v>0</v>
      </c>
      <c r="AH94" s="54">
        <f>SUM(FC!E94)</f>
        <v>427.91039999999998</v>
      </c>
      <c r="AI94" s="54">
        <v>0</v>
      </c>
      <c r="AJ94" s="54">
        <f>SUM(FS!E94)</f>
        <v>427.91039999999998</v>
      </c>
      <c r="AK94" s="54">
        <f>SUM(IT!E94)</f>
        <v>0</v>
      </c>
      <c r="AL94" s="67"/>
      <c r="AM94" s="60">
        <f t="shared" si="111"/>
        <v>6198.068188799999</v>
      </c>
      <c r="AO94" s="121">
        <v>3094.19</v>
      </c>
      <c r="AP94" s="288">
        <f>SUM(Sheet1!J94)</f>
        <v>3815.4975000000004</v>
      </c>
    </row>
    <row r="95" spans="1:42" ht="12">
      <c r="A95" s="31" t="s">
        <v>28</v>
      </c>
      <c r="B95" s="31" t="s">
        <v>27</v>
      </c>
      <c r="C95" s="38"/>
      <c r="D95" s="38">
        <f>+SUM(I95:K95)</f>
        <v>11909.743354790624</v>
      </c>
      <c r="E95" s="38">
        <f t="shared" si="109"/>
        <v>34521.080866250006</v>
      </c>
      <c r="F95" s="38">
        <f>(+F$88-F$84+F$80)*0.062</f>
        <v>6648.5783069870331</v>
      </c>
      <c r="G95" s="38">
        <f>(+G$88-G$84+G$80)*0.062</f>
        <v>620</v>
      </c>
      <c r="H95" s="71"/>
      <c r="I95" s="38">
        <f>(+I$88-I$84+I$80)*0.062</f>
        <v>3828.6843880000001</v>
      </c>
      <c r="J95" s="38">
        <f>(+J$88-J$84+J$80)*0.062</f>
        <v>4065.4429667906243</v>
      </c>
      <c r="K95" s="38">
        <f>(+K$88-K$84+K$80)*0.062</f>
        <v>4015.616</v>
      </c>
      <c r="L95" s="38">
        <f t="shared" ref="L95:S95" si="113">(+L$88-L$84+L$80)*0.062</f>
        <v>4040.786388</v>
      </c>
      <c r="M95" s="38">
        <f t="shared" si="113"/>
        <v>3856.3136649999997</v>
      </c>
      <c r="N95" s="38">
        <f t="shared" si="113"/>
        <v>4081.3980000000001</v>
      </c>
      <c r="O95" s="38">
        <f t="shared" si="113"/>
        <v>4543.2359999999999</v>
      </c>
      <c r="P95" s="38">
        <f t="shared" si="113"/>
        <v>4327.5379999999996</v>
      </c>
      <c r="Q95" s="38">
        <f>(+Q$88-Q$84+Q$80)*0.062</f>
        <v>4327.5379999999996</v>
      </c>
      <c r="R95" s="38">
        <f>(+R$88-R$84+R$80)*0.062</f>
        <v>0</v>
      </c>
      <c r="S95" s="38">
        <f t="shared" si="113"/>
        <v>2564.6624066249997</v>
      </c>
      <c r="T95" s="38">
        <f t="shared" ref="T95:X95" si="114">(+T$88-T$84+T$80)*0.062</f>
        <v>2564.6624066249997</v>
      </c>
      <c r="U95" s="38">
        <f t="shared" si="114"/>
        <v>0</v>
      </c>
      <c r="V95" s="38">
        <f t="shared" si="114"/>
        <v>2081.4639999999999</v>
      </c>
      <c r="W95" s="38">
        <f t="shared" si="114"/>
        <v>0</v>
      </c>
      <c r="X95" s="38">
        <f t="shared" si="114"/>
        <v>2133.482</v>
      </c>
      <c r="Y95" s="67"/>
      <c r="Z95" s="54">
        <f>SUM('AC-SVC'!C95)*Z$7</f>
        <v>0</v>
      </c>
      <c r="AA95" s="54">
        <f>SUM('AC-SVC'!E95)</f>
        <v>1674.8248727257253</v>
      </c>
      <c r="AB95" s="54">
        <f>SUM('AC-SVC'!H95)</f>
        <v>578.81435480000005</v>
      </c>
      <c r="AC95" s="54">
        <f>SUM('AC-SVC'!K95)</f>
        <v>0</v>
      </c>
      <c r="AD95" s="54">
        <f>SUM('AC-SVC'!N95)</f>
        <v>1236.0413000000001</v>
      </c>
      <c r="AE95" s="54">
        <f>SUM('AC-SVC'!P95)*AE$7</f>
        <v>0</v>
      </c>
      <c r="AF95" s="54">
        <f>SUM(PT!D95)</f>
        <v>1179.3664800000001</v>
      </c>
      <c r="AG95" s="54">
        <f>SUM(CCLC!D95)</f>
        <v>0</v>
      </c>
      <c r="AH95" s="54">
        <f>SUM(FC!E95)</f>
        <v>3154.808</v>
      </c>
      <c r="AI95" s="54">
        <v>0</v>
      </c>
      <c r="AJ95" s="54">
        <f>SUM(FS!E95)</f>
        <v>2114.4512308200001</v>
      </c>
      <c r="AK95" s="54">
        <f>SUM(IT!E95)</f>
        <v>0</v>
      </c>
      <c r="AL95" s="67"/>
      <c r="AM95" s="60">
        <f t="shared" si="111"/>
        <v>63637.708766373384</v>
      </c>
      <c r="AO95" s="121">
        <v>49655.28</v>
      </c>
      <c r="AP95" s="288">
        <f>SUM(Sheet1!J95)</f>
        <v>73610.519528301884</v>
      </c>
    </row>
    <row r="96" spans="1:42" ht="12">
      <c r="A96" s="31" t="s">
        <v>30</v>
      </c>
      <c r="B96" s="31" t="s">
        <v>29</v>
      </c>
      <c r="C96" s="38"/>
      <c r="D96" s="38">
        <f>+SUM(I96:K96)</f>
        <v>2785.3432039429686</v>
      </c>
      <c r="E96" s="38">
        <f t="shared" si="109"/>
        <v>8073.478589687501</v>
      </c>
      <c r="F96" s="38">
        <f>(+F$88-F$84+F$80)*0.0145</f>
        <v>1554.9094427630966</v>
      </c>
      <c r="G96" s="38">
        <f>(+G$88-G$84+G$80)*0.0145</f>
        <v>145</v>
      </c>
      <c r="H96" s="71"/>
      <c r="I96" s="38">
        <f>(+I$88-I$84+I$80)*0.0145</f>
        <v>895.41812300000004</v>
      </c>
      <c r="J96" s="38">
        <f>(+J$88-J$84+J$80)*0.0145</f>
        <v>950.78908094296867</v>
      </c>
      <c r="K96" s="38">
        <f>(+K$88-K$84+K$80)*0.0145</f>
        <v>939.13600000000008</v>
      </c>
      <c r="L96" s="38">
        <f t="shared" ref="L96:S96" si="115">(+L$88-L$84+L$80)*0.0145</f>
        <v>945.02262300000007</v>
      </c>
      <c r="M96" s="38">
        <f t="shared" si="115"/>
        <v>901.87980875000005</v>
      </c>
      <c r="N96" s="38">
        <f t="shared" si="115"/>
        <v>954.52050000000008</v>
      </c>
      <c r="O96" s="38">
        <f t="shared" si="115"/>
        <v>1062.5309999999999</v>
      </c>
      <c r="P96" s="38">
        <f t="shared" si="115"/>
        <v>1012.0855</v>
      </c>
      <c r="Q96" s="38">
        <f>(+Q$88-Q$84+Q$80)*0.0145</f>
        <v>1012.0855</v>
      </c>
      <c r="R96" s="38">
        <f>(+R$88-R$84+R$80)*0.0145</f>
        <v>0</v>
      </c>
      <c r="S96" s="38">
        <f t="shared" si="115"/>
        <v>599.80007896874997</v>
      </c>
      <c r="T96" s="38">
        <f t="shared" ref="T96:X96" si="116">(+T$88-T$84+T$80)*0.0145</f>
        <v>599.80007896874997</v>
      </c>
      <c r="U96" s="38">
        <f t="shared" si="116"/>
        <v>0</v>
      </c>
      <c r="V96" s="38">
        <f t="shared" si="116"/>
        <v>486.79400000000004</v>
      </c>
      <c r="W96" s="38">
        <f t="shared" si="116"/>
        <v>0</v>
      </c>
      <c r="X96" s="38">
        <f t="shared" si="116"/>
        <v>498.95950000000005</v>
      </c>
      <c r="Y96" s="67"/>
      <c r="Z96" s="54">
        <f>SUM('AC-SVC'!C96)*Z$7</f>
        <v>0</v>
      </c>
      <c r="AA96" s="54">
        <f>SUM('AC-SVC'!E96)</f>
        <v>391.69291378262932</v>
      </c>
      <c r="AB96" s="54">
        <f>SUM('AC-SVC'!H96)</f>
        <v>135.36787330000001</v>
      </c>
      <c r="AC96" s="54">
        <f>SUM('AC-SVC'!K96)</f>
        <v>0</v>
      </c>
      <c r="AD96" s="54">
        <f>SUM('AC-SVC'!N96)</f>
        <v>289.07417500000003</v>
      </c>
      <c r="AE96" s="54">
        <f>SUM('AC-SVC'!P96)*AE$7</f>
        <v>0</v>
      </c>
      <c r="AF96" s="54">
        <f>SUM(PT!D96)</f>
        <v>275.81958000000003</v>
      </c>
      <c r="AG96" s="54">
        <f>SUM(CCLC!D96)</f>
        <v>0</v>
      </c>
      <c r="AH96" s="54">
        <f>SUM(FC!E96)</f>
        <v>737.81799999999998</v>
      </c>
      <c r="AI96" s="54">
        <v>0</v>
      </c>
      <c r="AJ96" s="54">
        <f>SUM(FS!E96)</f>
        <v>494.50875559500008</v>
      </c>
      <c r="AK96" s="54">
        <f>SUM(IT!E96)</f>
        <v>0</v>
      </c>
      <c r="AL96" s="67"/>
      <c r="AM96" s="60">
        <f t="shared" si="111"/>
        <v>14883.012534071197</v>
      </c>
      <c r="AO96" s="121">
        <v>0</v>
      </c>
      <c r="AP96" s="288">
        <f>SUM(Sheet1!J96)</f>
        <v>0</v>
      </c>
    </row>
    <row r="97" spans="1:42" ht="12">
      <c r="A97" s="31" t="s">
        <v>31</v>
      </c>
      <c r="B97" s="31" t="s">
        <v>32</v>
      </c>
      <c r="C97" s="38"/>
      <c r="D97" s="38">
        <f>+SUM(I97:K97)</f>
        <v>11525.558085281249</v>
      </c>
      <c r="E97" s="38">
        <f t="shared" si="109"/>
        <v>33407.497612499996</v>
      </c>
      <c r="F97" s="38">
        <f>(+F$88-F$84+F$80)*0.06</f>
        <v>6434.1080390197094</v>
      </c>
      <c r="G97" s="38">
        <f>(+G$88-G$84+G$80)*0.06</f>
        <v>600</v>
      </c>
      <c r="H97" s="71"/>
      <c r="I97" s="38">
        <f t="shared" ref="I97:X97" si="117">(+I$88-I$84+I$80)*0.06</f>
        <v>3705.1784400000001</v>
      </c>
      <c r="J97" s="38">
        <f t="shared" si="117"/>
        <v>3934.299645281249</v>
      </c>
      <c r="K97" s="38">
        <f t="shared" si="117"/>
        <v>3886.08</v>
      </c>
      <c r="L97" s="38">
        <f t="shared" si="117"/>
        <v>3910.4384399999999</v>
      </c>
      <c r="M97" s="38">
        <f t="shared" si="117"/>
        <v>3731.9164499999997</v>
      </c>
      <c r="N97" s="38">
        <f t="shared" si="117"/>
        <v>3949.74</v>
      </c>
      <c r="O97" s="38">
        <f t="shared" si="117"/>
        <v>4396.68</v>
      </c>
      <c r="P97" s="38">
        <f t="shared" si="117"/>
        <v>4187.9399999999996</v>
      </c>
      <c r="Q97" s="38">
        <f>(+Q$88-Q$84+Q$80)*0.06</f>
        <v>4187.9399999999996</v>
      </c>
      <c r="R97" s="38">
        <f>(+R$88-R$84+R$80)*0.06</f>
        <v>0</v>
      </c>
      <c r="S97" s="38">
        <f t="shared" si="117"/>
        <v>2481.9313612499996</v>
      </c>
      <c r="T97" s="38">
        <f t="shared" si="117"/>
        <v>2481.9313612499996</v>
      </c>
      <c r="U97" s="38">
        <f t="shared" si="117"/>
        <v>0</v>
      </c>
      <c r="V97" s="38">
        <f t="shared" si="117"/>
        <v>2014.32</v>
      </c>
      <c r="W97" s="38">
        <f t="shared" si="117"/>
        <v>0</v>
      </c>
      <c r="X97" s="38">
        <f t="shared" si="117"/>
        <v>2064.66</v>
      </c>
      <c r="Y97" s="67"/>
      <c r="Z97" s="54">
        <f>SUM('AC-SVC'!C97)*Z$7</f>
        <v>0</v>
      </c>
      <c r="AA97" s="54">
        <f>SUM('AC-SVC'!E97)</f>
        <v>1620.7982639281213</v>
      </c>
      <c r="AB97" s="54">
        <f>SUM('AC-SVC'!H97)</f>
        <v>364.09290060000001</v>
      </c>
      <c r="AC97" s="54">
        <f>SUM('AC-SVC'!K97)</f>
        <v>0</v>
      </c>
      <c r="AD97" s="54">
        <f>SUM('AC-SVC'!N97)</f>
        <v>777.50985000000014</v>
      </c>
      <c r="AE97" s="54">
        <f>SUM('AC-SVC'!P97)*AE$7</f>
        <v>0</v>
      </c>
      <c r="AF97" s="54">
        <f>SUM(PT!D97)</f>
        <v>570.66120000000001</v>
      </c>
      <c r="AG97" s="54">
        <f>SUM(CCLC!D97)</f>
        <v>0</v>
      </c>
      <c r="AH97" s="54">
        <f>SUM(FC!E97)</f>
        <v>3053.04</v>
      </c>
      <c r="AI97" s="54">
        <v>0</v>
      </c>
      <c r="AJ97" s="54">
        <f>SUM(FS!E97)</f>
        <v>2046.2431266000001</v>
      </c>
      <c r="AK97" s="54">
        <f>SUM(IT!E97)</f>
        <v>0</v>
      </c>
      <c r="AL97" s="67"/>
      <c r="AM97" s="60">
        <f t="shared" si="111"/>
        <v>60399.509077929077</v>
      </c>
      <c r="AO97" s="121">
        <v>21191.97</v>
      </c>
      <c r="AP97" s="288">
        <f>SUM(Sheet1!J97)</f>
        <v>31895.341273584905</v>
      </c>
    </row>
    <row r="98" spans="1:42" ht="12">
      <c r="A98" s="31" t="s">
        <v>36</v>
      </c>
      <c r="B98" s="31" t="s">
        <v>35</v>
      </c>
      <c r="C98" s="38"/>
      <c r="D98" s="38">
        <f>+SUM(I98:K98)</f>
        <v>1075.7187546262501</v>
      </c>
      <c r="E98" s="38">
        <f t="shared" si="109"/>
        <v>3118.0331105000005</v>
      </c>
      <c r="F98" s="38">
        <f>(+F$88-F$84+F$80)*0.0056</f>
        <v>600.51675030850618</v>
      </c>
      <c r="G98" s="38">
        <f>(+G$88-G$84+G$80)*0.0056</f>
        <v>56</v>
      </c>
      <c r="H98" s="71"/>
      <c r="I98" s="38">
        <f>(+I$88-I$84+I$80)*0.0056</f>
        <v>345.8166544</v>
      </c>
      <c r="J98" s="38">
        <f>(+J$88-J$84+J$80)*0.0056</f>
        <v>367.20130022624994</v>
      </c>
      <c r="K98" s="38">
        <f>(+K$88-K$84+K$80)*0.0056</f>
        <v>362.70080000000002</v>
      </c>
      <c r="L98" s="38">
        <f t="shared" ref="L98:S98" si="118">(+L$88-L$84+L$80)*0.0056</f>
        <v>364.97425440000001</v>
      </c>
      <c r="M98" s="38">
        <f t="shared" si="118"/>
        <v>348.31220200000001</v>
      </c>
      <c r="N98" s="38">
        <f t="shared" si="118"/>
        <v>368.64240000000001</v>
      </c>
      <c r="O98" s="38">
        <f t="shared" si="118"/>
        <v>410.35680000000002</v>
      </c>
      <c r="P98" s="38">
        <f t="shared" si="118"/>
        <v>390.87439999999998</v>
      </c>
      <c r="Q98" s="38">
        <f>(+Q$88-Q$84+Q$80)*0.0056</f>
        <v>390.87439999999998</v>
      </c>
      <c r="R98" s="38">
        <f>(+R$88-R$84+R$80)*0.0056</f>
        <v>0</v>
      </c>
      <c r="S98" s="38">
        <f t="shared" si="118"/>
        <v>231.64692704999996</v>
      </c>
      <c r="T98" s="38">
        <f t="shared" ref="T98:X98" si="119">(+T$88-T$84+T$80)*0.0056</f>
        <v>231.64692704999996</v>
      </c>
      <c r="U98" s="38">
        <f t="shared" si="119"/>
        <v>0</v>
      </c>
      <c r="V98" s="38">
        <f t="shared" si="119"/>
        <v>188.00319999999999</v>
      </c>
      <c r="W98" s="38">
        <f t="shared" si="119"/>
        <v>0</v>
      </c>
      <c r="X98" s="38">
        <f t="shared" si="119"/>
        <v>192.70159999999998</v>
      </c>
      <c r="Y98" s="67"/>
      <c r="Z98" s="54">
        <f>SUM('AC-SVC'!C98)*Z$7</f>
        <v>0</v>
      </c>
      <c r="AA98" s="54">
        <f>SUM('AC-SVC'!E98)</f>
        <v>151.27450463329131</v>
      </c>
      <c r="AB98" s="54">
        <f>SUM('AC-SVC'!H98)</f>
        <v>52.280006240000006</v>
      </c>
      <c r="AC98" s="54">
        <f>SUM('AC-SVC'!K98)</f>
        <v>0</v>
      </c>
      <c r="AD98" s="54">
        <f>SUM('AC-SVC'!N98)</f>
        <v>111.64244000000001</v>
      </c>
      <c r="AE98" s="54">
        <f>SUM('AC-SVC'!P98)*AE$7</f>
        <v>0</v>
      </c>
      <c r="AF98" s="54">
        <f>SUM(PT!D98)</f>
        <v>106.52342400000001</v>
      </c>
      <c r="AG98" s="54">
        <f>SUM(CCLC!D98)</f>
        <v>0</v>
      </c>
      <c r="AH98" s="54">
        <f>SUM(FC!E98)</f>
        <v>284.9504</v>
      </c>
      <c r="AI98" s="54">
        <v>0</v>
      </c>
      <c r="AJ98" s="54">
        <f>SUM(FS!E98)</f>
        <v>190.98269181600003</v>
      </c>
      <c r="AK98" s="54">
        <f>SUM(IT!E98)</f>
        <v>0</v>
      </c>
      <c r="AL98" s="67"/>
      <c r="AM98" s="60">
        <f t="shared" si="111"/>
        <v>5747.9220821240478</v>
      </c>
      <c r="AO98" s="121">
        <v>6564.02</v>
      </c>
      <c r="AP98" s="288">
        <f>SUM(Sheet1!J98)</f>
        <v>9306.2993396226411</v>
      </c>
    </row>
    <row r="99" spans="1:42" ht="12">
      <c r="A99" s="31" t="s">
        <v>38</v>
      </c>
      <c r="B99" s="31" t="s">
        <v>37</v>
      </c>
      <c r="C99" s="38"/>
      <c r="D99" s="38">
        <f>+SUM(I99:K99)</f>
        <v>928.62000000000012</v>
      </c>
      <c r="E99" s="38">
        <f t="shared" si="109"/>
        <v>2476.3200000000002</v>
      </c>
      <c r="F99" s="38">
        <f>+F$7*7700*0.0201</f>
        <v>309.54000000000002</v>
      </c>
      <c r="G99" s="38">
        <f>+G$7*7700*0.0201</f>
        <v>0</v>
      </c>
      <c r="H99" s="71"/>
      <c r="I99" s="38">
        <f t="shared" ref="I99:X99" si="120">+I$7*7700*0.0201</f>
        <v>309.54000000000002</v>
      </c>
      <c r="J99" s="38">
        <f t="shared" si="120"/>
        <v>309.54000000000002</v>
      </c>
      <c r="K99" s="38">
        <f t="shared" si="120"/>
        <v>309.54000000000002</v>
      </c>
      <c r="L99" s="38">
        <f t="shared" si="120"/>
        <v>309.54000000000002</v>
      </c>
      <c r="M99" s="38">
        <f t="shared" si="120"/>
        <v>309.54000000000002</v>
      </c>
      <c r="N99" s="38">
        <f t="shared" si="120"/>
        <v>309.54000000000002</v>
      </c>
      <c r="O99" s="38">
        <f t="shared" si="120"/>
        <v>309.54000000000002</v>
      </c>
      <c r="P99" s="38">
        <f t="shared" si="120"/>
        <v>309.54000000000002</v>
      </c>
      <c r="Q99" s="38">
        <f>+Q$7*7700*0.0201</f>
        <v>309.54000000000002</v>
      </c>
      <c r="R99" s="38">
        <f>+R$7*7700*0.0201</f>
        <v>0</v>
      </c>
      <c r="S99" s="38">
        <f t="shared" si="120"/>
        <v>154.77000000000001</v>
      </c>
      <c r="T99" s="38">
        <f t="shared" si="120"/>
        <v>154.77000000000001</v>
      </c>
      <c r="U99" s="38">
        <f t="shared" si="120"/>
        <v>0</v>
      </c>
      <c r="V99" s="38">
        <f t="shared" si="120"/>
        <v>154.77000000000001</v>
      </c>
      <c r="W99" s="38">
        <f t="shared" si="120"/>
        <v>0</v>
      </c>
      <c r="X99" s="38">
        <f t="shared" si="120"/>
        <v>154.77000000000001</v>
      </c>
      <c r="Y99" s="67"/>
      <c r="Z99" s="54">
        <f>SUM('AC-SVC'!C99)*Z$7</f>
        <v>0</v>
      </c>
      <c r="AA99" s="54">
        <f>SUM('AC-SVC'!E99)</f>
        <v>77.385000000000005</v>
      </c>
      <c r="AB99" s="54">
        <f>SUM('AC-SVC'!H99)</f>
        <v>30.954000000000001</v>
      </c>
      <c r="AC99" s="54">
        <f>SUM('AC-SVC'!K99)</f>
        <v>0</v>
      </c>
      <c r="AD99" s="54">
        <f>SUM('AC-SVC'!N99)</f>
        <v>77.385000000000005</v>
      </c>
      <c r="AE99" s="54">
        <f>SUM('AC-SVC'!P99)*AE$7</f>
        <v>0</v>
      </c>
      <c r="AF99" s="54">
        <f>SUM(PT!D99)</f>
        <v>309.54000000000002</v>
      </c>
      <c r="AG99" s="54">
        <f>SUM(CCLC!D99)</f>
        <v>0</v>
      </c>
      <c r="AH99" s="54">
        <f>SUM(FC!E99)</f>
        <v>309.54000000000002</v>
      </c>
      <c r="AI99" s="54">
        <v>0</v>
      </c>
      <c r="AJ99" s="54">
        <f>SUM(FS!E99)</f>
        <v>309.54000000000002</v>
      </c>
      <c r="AK99" s="54">
        <f>SUM(IT!E99)</f>
        <v>0</v>
      </c>
      <c r="AL99" s="67"/>
      <c r="AM99" s="60">
        <f t="shared" si="111"/>
        <v>4828.8240000000005</v>
      </c>
      <c r="AO99" s="121">
        <v>7261.7</v>
      </c>
      <c r="AP99" s="288">
        <f>SUM(Sheet1!J99)</f>
        <v>9032.2838679245287</v>
      </c>
    </row>
    <row r="100" spans="1:42" ht="12">
      <c r="A100" s="31" t="s">
        <v>83</v>
      </c>
      <c r="B100" s="31" t="s">
        <v>84</v>
      </c>
      <c r="C100" s="38"/>
      <c r="D100" s="38">
        <f>SUM(I100:K100)</f>
        <v>0</v>
      </c>
      <c r="E100" s="38">
        <f>SUM(L100:X100)</f>
        <v>0</v>
      </c>
      <c r="F100" s="38"/>
      <c r="G100" s="38"/>
      <c r="H100" s="71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67"/>
      <c r="Z100" s="54">
        <f>SUM('AC-SVC'!C100)*Z$7</f>
        <v>0</v>
      </c>
      <c r="AA100" s="54">
        <f>SUM('AC-SVC'!E100)</f>
        <v>0</v>
      </c>
      <c r="AB100" s="54">
        <f>SUM('AC-SVC'!H100)</f>
        <v>0</v>
      </c>
      <c r="AC100" s="54">
        <f>SUM('AC-SVC'!K100)</f>
        <v>0</v>
      </c>
      <c r="AD100" s="54">
        <f>SUM('AC-SVC'!N100)</f>
        <v>0</v>
      </c>
      <c r="AE100" s="54">
        <f>SUM('AC-SVC'!P100)*AE$7</f>
        <v>0</v>
      </c>
      <c r="AF100" s="54">
        <f>SUM(PT!D100)</f>
        <v>0</v>
      </c>
      <c r="AG100" s="54">
        <f>SUM(CCLC!D100)</f>
        <v>0</v>
      </c>
      <c r="AH100" s="54">
        <f>SUM(FC!E100)</f>
        <v>0</v>
      </c>
      <c r="AI100" s="54">
        <v>0</v>
      </c>
      <c r="AJ100" s="54">
        <f>SUM(FS!E100)</f>
        <v>0</v>
      </c>
      <c r="AK100" s="54">
        <f>SUM(IT!E100)</f>
        <v>0</v>
      </c>
      <c r="AL100" s="67"/>
      <c r="AM100" s="60">
        <f t="shared" si="111"/>
        <v>0</v>
      </c>
      <c r="AO100" s="121"/>
      <c r="AP100" s="288">
        <f>SUM(Sheet1!J100)</f>
        <v>1212.4174528301887</v>
      </c>
    </row>
    <row r="101" spans="1:42" ht="12">
      <c r="A101" s="31" t="s">
        <v>39</v>
      </c>
      <c r="B101" s="31" t="s">
        <v>40</v>
      </c>
      <c r="C101" s="39"/>
      <c r="D101" s="39">
        <f>+SUM(I101:K101)</f>
        <v>1402.2762337092186</v>
      </c>
      <c r="E101" s="39">
        <f>+SUM(L101:X101)</f>
        <v>4064.5788761874996</v>
      </c>
      <c r="F101" s="39">
        <f>(+F$88-F$84+F$80)*(0.0024+0.0036+0.0013)</f>
        <v>782.81647808073137</v>
      </c>
      <c r="G101" s="39">
        <f>(+G$88-G$84+G$80)*(0.0024+0.0036+0.0013)</f>
        <v>73</v>
      </c>
      <c r="H101" s="73"/>
      <c r="I101" s="39">
        <f>(+I$88-I$84+I$80)*(0.0024+0.0036+0.0013)</f>
        <v>450.79671020000001</v>
      </c>
      <c r="J101" s="39">
        <f>(+J$88-J$84+J$80)*(0.0024+0.0036+0.0013)</f>
        <v>478.67312350921867</v>
      </c>
      <c r="K101" s="39">
        <f>(+K$88-K$84+K$80)*(0.0024+0.0036+0.0013)</f>
        <v>472.8064</v>
      </c>
      <c r="L101" s="39">
        <f t="shared" ref="L101:S101" si="121">(+L$88-L$84+L$80)*(0.0024+0.0036+0.0013)</f>
        <v>475.7700102</v>
      </c>
      <c r="M101" s="39">
        <f t="shared" si="121"/>
        <v>454.04983475</v>
      </c>
      <c r="N101" s="39">
        <f t="shared" si="121"/>
        <v>480.55169999999998</v>
      </c>
      <c r="O101" s="39">
        <f t="shared" si="121"/>
        <v>534.92939999999999</v>
      </c>
      <c r="P101" s="39">
        <f t="shared" si="121"/>
        <v>509.53269999999998</v>
      </c>
      <c r="Q101" s="39">
        <f>(+Q$88-Q$84+Q$80)*(0.0024+0.0036+0.0013)</f>
        <v>509.53269999999998</v>
      </c>
      <c r="R101" s="39">
        <f>(+R$88-R$84+R$80)*(0.0024+0.0036+0.0013)</f>
        <v>0</v>
      </c>
      <c r="S101" s="39">
        <f t="shared" si="121"/>
        <v>301.96831561874995</v>
      </c>
      <c r="T101" s="39">
        <f t="shared" ref="T101:X101" si="122">(+T$88-T$84+T$80)*(0.0024+0.0036+0.0013)</f>
        <v>301.96831561874995</v>
      </c>
      <c r="U101" s="39">
        <f t="shared" si="122"/>
        <v>0</v>
      </c>
      <c r="V101" s="39">
        <f t="shared" si="122"/>
        <v>245.07560000000001</v>
      </c>
      <c r="W101" s="39">
        <f t="shared" si="122"/>
        <v>0</v>
      </c>
      <c r="X101" s="39">
        <f t="shared" si="122"/>
        <v>251.2003</v>
      </c>
      <c r="Y101" s="67"/>
      <c r="Z101" s="39">
        <f>SUM('AC-SVC'!C101)*Z$7</f>
        <v>0</v>
      </c>
      <c r="AA101" s="39">
        <f>SUM('AC-SVC'!E101)</f>
        <v>197.19712211125477</v>
      </c>
      <c r="AB101" s="39">
        <f>SUM('AC-SVC'!H101)</f>
        <v>68.150722420000008</v>
      </c>
      <c r="AC101" s="39">
        <f>SUM('AC-SVC'!K101)</f>
        <v>0</v>
      </c>
      <c r="AD101" s="39">
        <f>SUM('AC-SVC'!N101)</f>
        <v>145.533895</v>
      </c>
      <c r="AE101" s="39">
        <f>SUM('AC-SVC'!P101)*AE$7</f>
        <v>0</v>
      </c>
      <c r="AF101" s="39">
        <f>SUM(PT!D101)</f>
        <v>138.86089200000001</v>
      </c>
      <c r="AG101" s="39">
        <f>SUM(CCLC!D101)</f>
        <v>0</v>
      </c>
      <c r="AH101" s="39">
        <f>SUM(FC!E101)</f>
        <v>371.45319999999998</v>
      </c>
      <c r="AI101" s="39">
        <v>0</v>
      </c>
      <c r="AJ101" s="39">
        <f>SUM(FS!E101)</f>
        <v>248.95958040300005</v>
      </c>
      <c r="AK101" s="39">
        <f>SUM(IT!E101)</f>
        <v>0</v>
      </c>
      <c r="AL101" s="67"/>
      <c r="AM101" s="59">
        <f t="shared" si="111"/>
        <v>7492.8269999117038</v>
      </c>
      <c r="AO101" s="122">
        <v>4029.48</v>
      </c>
      <c r="AP101" s="289">
        <f>SUM(Sheet1!J101)</f>
        <v>5499.7973584905658</v>
      </c>
    </row>
    <row r="102" spans="1:42" ht="10">
      <c r="B102" s="31" t="s">
        <v>234</v>
      </c>
      <c r="C102" s="38">
        <f>SUM(C93:C101)</f>
        <v>0</v>
      </c>
      <c r="D102" s="38">
        <f t="shared" ref="D102:G102" si="123">SUM(D93:D101)</f>
        <v>52024.558832350311</v>
      </c>
      <c r="E102" s="38">
        <f t="shared" si="123"/>
        <v>145387.12025512502</v>
      </c>
      <c r="F102" s="38">
        <f t="shared" si="123"/>
        <v>23796.235417159078</v>
      </c>
      <c r="G102" s="38">
        <f t="shared" si="123"/>
        <v>1494</v>
      </c>
      <c r="H102" s="71"/>
      <c r="I102" s="38">
        <f t="shared" ref="I102" si="124">SUM(I93:I101)</f>
        <v>17001.2007156</v>
      </c>
      <c r="J102" s="38">
        <f t="shared" ref="J102:K102" si="125">SUM(J93:J101)</f>
        <v>17571.712516750311</v>
      </c>
      <c r="K102" s="38">
        <f t="shared" si="125"/>
        <v>17451.6456</v>
      </c>
      <c r="L102" s="38">
        <f t="shared" ref="L102" si="126">SUM(L93:L101)</f>
        <v>17512.298115600002</v>
      </c>
      <c r="M102" s="38">
        <f t="shared" ref="M102" si="127">SUM(M93:M101)</f>
        <v>17067.778360499997</v>
      </c>
      <c r="N102" s="38">
        <f t="shared" ref="N102" si="128">SUM(N93:N101)</f>
        <v>17610.159</v>
      </c>
      <c r="O102" s="38">
        <f t="shared" ref="O102" si="129">SUM(O93:O101)</f>
        <v>18723.039600000004</v>
      </c>
      <c r="P102" s="38">
        <f t="shared" ref="P102" si="130">SUM(P93:P101)</f>
        <v>18203.276999999998</v>
      </c>
      <c r="Q102" s="38">
        <f t="shared" ref="Q102:R102" si="131">SUM(Q93:Q101)</f>
        <v>18203.276999999998</v>
      </c>
      <c r="R102" s="38">
        <f t="shared" si="131"/>
        <v>0</v>
      </c>
      <c r="S102" s="38">
        <f t="shared" ref="S102" si="132">SUM(S93:S101)</f>
        <v>10067.662289512498</v>
      </c>
      <c r="T102" s="38">
        <f t="shared" ref="T102" si="133">SUM(T93:T101)</f>
        <v>10067.662289512498</v>
      </c>
      <c r="U102" s="38">
        <f t="shared" ref="U102" si="134">SUM(U93:U101)</f>
        <v>0</v>
      </c>
      <c r="V102" s="38">
        <f t="shared" ref="V102" si="135">SUM(V93:V101)</f>
        <v>8903.31</v>
      </c>
      <c r="W102" s="38">
        <f t="shared" ref="W102" si="136">SUM(W93:W101)</f>
        <v>0</v>
      </c>
      <c r="X102" s="38">
        <f t="shared" ref="X102" si="137">SUM(X93:X101)</f>
        <v>9028.6566000000021</v>
      </c>
      <c r="Y102" s="67"/>
      <c r="Z102" s="38">
        <f t="shared" ref="Z102:AD102" si="138">+SUM(Z93:Z101)</f>
        <v>0</v>
      </c>
      <c r="AA102" s="47">
        <f t="shared" si="138"/>
        <v>5979.614277181021</v>
      </c>
      <c r="AB102" s="38">
        <f t="shared" si="138"/>
        <v>1962.1154541599999</v>
      </c>
      <c r="AC102" s="38">
        <f t="shared" si="138"/>
        <v>0</v>
      </c>
      <c r="AD102" s="38">
        <f t="shared" si="138"/>
        <v>4468.3256519999995</v>
      </c>
      <c r="AE102" s="38">
        <f t="shared" ref="AE102" si="139">+SUM(AE93:AE101)</f>
        <v>0</v>
      </c>
      <c r="AF102" s="38">
        <f t="shared" ref="AF102:AK102" si="140">+SUM(AF93:AF101)</f>
        <v>2580.7715760000006</v>
      </c>
      <c r="AG102" s="38">
        <f t="shared" si="140"/>
        <v>0</v>
      </c>
      <c r="AH102" s="38">
        <f t="shared" si="140"/>
        <v>15377.375999999998</v>
      </c>
      <c r="AI102" s="38">
        <f t="shared" si="140"/>
        <v>0</v>
      </c>
      <c r="AJ102" s="38">
        <f t="shared" si="140"/>
        <v>12870.451785234</v>
      </c>
      <c r="AK102" s="38">
        <f t="shared" si="140"/>
        <v>0</v>
      </c>
      <c r="AL102" s="67"/>
      <c r="AM102" s="50">
        <f>SUM(AM93:AM101)</f>
        <v>265940.56924920937</v>
      </c>
      <c r="AO102" s="120">
        <f>SUM(AO93:AO101)</f>
        <v>143398.55000000002</v>
      </c>
      <c r="AP102" s="278">
        <f>SUM(AP93:AP101)</f>
        <v>201967.88655660374</v>
      </c>
    </row>
    <row r="103" spans="1:42">
      <c r="C103" s="38"/>
      <c r="D103" s="38"/>
      <c r="E103" s="38"/>
      <c r="F103" s="38"/>
      <c r="G103" s="38"/>
      <c r="H103" s="71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67"/>
      <c r="Z103" s="38"/>
      <c r="AA103" s="47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67"/>
      <c r="AM103" s="50"/>
      <c r="AO103" s="120"/>
    </row>
    <row r="104" spans="1:42" s="4" customFormat="1" ht="12">
      <c r="A104" s="35"/>
      <c r="B104" s="35" t="s">
        <v>235</v>
      </c>
      <c r="C104" s="40">
        <f>SUM(C90+C102)</f>
        <v>0</v>
      </c>
      <c r="D104" s="40">
        <f t="shared" ref="D104:X104" si="141">SUM(D90+D102)</f>
        <v>244957.19358703779</v>
      </c>
      <c r="E104" s="40">
        <f t="shared" si="141"/>
        <v>705538.74713012495</v>
      </c>
      <c r="F104" s="40">
        <f t="shared" si="141"/>
        <v>131031.3694008209</v>
      </c>
      <c r="G104" s="40">
        <f t="shared" si="141"/>
        <v>11494</v>
      </c>
      <c r="H104" s="74"/>
      <c r="I104" s="40">
        <f t="shared" si="141"/>
        <v>79034.174715600006</v>
      </c>
      <c r="J104" s="40">
        <f t="shared" si="141"/>
        <v>83423.373271437798</v>
      </c>
      <c r="K104" s="40">
        <f t="shared" ref="K104" si="142">SUM(K90+K102)</f>
        <v>82499.645600000003</v>
      </c>
      <c r="L104" s="40">
        <f t="shared" si="141"/>
        <v>82966.272115600004</v>
      </c>
      <c r="M104" s="40">
        <f t="shared" si="141"/>
        <v>79546.385860499999</v>
      </c>
      <c r="N104" s="40">
        <f t="shared" si="141"/>
        <v>83719.159</v>
      </c>
      <c r="O104" s="40">
        <f t="shared" si="141"/>
        <v>92281.039600000004</v>
      </c>
      <c r="P104" s="40">
        <f t="shared" si="141"/>
        <v>88282.277000000002</v>
      </c>
      <c r="Q104" s="40">
        <f>SUM(Q90+Q102)</f>
        <v>88282.277000000002</v>
      </c>
      <c r="R104" s="40">
        <f>SUM(R90+R102)</f>
        <v>280</v>
      </c>
      <c r="S104" s="40">
        <f t="shared" si="141"/>
        <v>51713.18497701249</v>
      </c>
      <c r="T104" s="40">
        <f t="shared" si="141"/>
        <v>51713.18497701249</v>
      </c>
      <c r="U104" s="40">
        <f t="shared" si="141"/>
        <v>0</v>
      </c>
      <c r="V104" s="40">
        <f t="shared" si="141"/>
        <v>42755.31</v>
      </c>
      <c r="W104" s="40">
        <f t="shared" si="141"/>
        <v>280</v>
      </c>
      <c r="X104" s="40">
        <f t="shared" si="141"/>
        <v>43719.656600000002</v>
      </c>
      <c r="Y104" s="70"/>
      <c r="Z104" s="50">
        <f t="shared" ref="Z104:AE104" si="143">SUM(Z90+Z102)</f>
        <v>0</v>
      </c>
      <c r="AA104" s="50">
        <f t="shared" si="143"/>
        <v>32992.918675983041</v>
      </c>
      <c r="AB104" s="50">
        <f t="shared" si="143"/>
        <v>11297.830854160002</v>
      </c>
      <c r="AC104" s="50">
        <f t="shared" si="143"/>
        <v>0</v>
      </c>
      <c r="AD104" s="50">
        <f t="shared" si="143"/>
        <v>24404.475652000001</v>
      </c>
      <c r="AE104" s="50">
        <f t="shared" si="143"/>
        <v>0</v>
      </c>
      <c r="AF104" s="40">
        <f t="shared" ref="AF104:AK104" si="144">+AF90+AF102</f>
        <v>21602.811576</v>
      </c>
      <c r="AG104" s="40">
        <f t="shared" si="144"/>
        <v>0</v>
      </c>
      <c r="AH104" s="40">
        <f t="shared" si="144"/>
        <v>66261.376000000004</v>
      </c>
      <c r="AI104" s="40">
        <f t="shared" si="144"/>
        <v>0</v>
      </c>
      <c r="AJ104" s="40">
        <f t="shared" si="144"/>
        <v>48374.503895234004</v>
      </c>
      <c r="AK104" s="40">
        <f t="shared" si="144"/>
        <v>0</v>
      </c>
      <c r="AL104" s="70"/>
      <c r="AM104" s="40">
        <f>+AM90+AM102</f>
        <v>1297955.2267713607</v>
      </c>
      <c r="AO104" s="120">
        <f>SUM(AO90+AO102)</f>
        <v>883205.95000000007</v>
      </c>
      <c r="AP104" s="280">
        <f>SUM(AP90+AP102)</f>
        <v>1311600.1433490566</v>
      </c>
    </row>
    <row r="105" spans="1:42">
      <c r="C105" s="38"/>
      <c r="D105" s="38"/>
      <c r="E105" s="38"/>
      <c r="F105" s="38"/>
      <c r="G105" s="38"/>
      <c r="H105" s="71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67"/>
      <c r="Z105" s="38"/>
      <c r="AA105" s="47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67"/>
      <c r="AM105" s="50"/>
      <c r="AO105" s="120"/>
    </row>
    <row r="106" spans="1:42">
      <c r="A106" s="31" t="s">
        <v>236</v>
      </c>
      <c r="C106" s="38"/>
      <c r="D106" s="38"/>
      <c r="E106" s="38"/>
      <c r="F106" s="38"/>
      <c r="G106" s="38"/>
      <c r="H106" s="71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67"/>
      <c r="Z106" s="38"/>
      <c r="AA106" s="47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67"/>
      <c r="AM106" s="50"/>
      <c r="AO106" s="120"/>
    </row>
    <row r="107" spans="1:42">
      <c r="A107" s="31" t="s">
        <v>237</v>
      </c>
      <c r="C107" s="38"/>
      <c r="D107" s="38"/>
      <c r="E107" s="38"/>
      <c r="F107" s="38"/>
      <c r="G107" s="38"/>
      <c r="H107" s="71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67"/>
      <c r="Z107" s="38"/>
      <c r="AA107" s="47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67"/>
      <c r="AM107" s="50"/>
      <c r="AO107" s="120"/>
    </row>
    <row r="108" spans="1:42" ht="12">
      <c r="A108" s="31" t="s">
        <v>51</v>
      </c>
      <c r="B108" s="31" t="s">
        <v>50</v>
      </c>
      <c r="C108" s="38"/>
      <c r="D108" s="38">
        <f t="shared" ref="D108:D121" si="145">SUM(I108:K108)</f>
        <v>0</v>
      </c>
      <c r="E108" s="38">
        <f t="shared" ref="E108:E121" si="146">SUM(L108:X108)</f>
        <v>0</v>
      </c>
      <c r="F108" s="38"/>
      <c r="G108" s="38"/>
      <c r="H108" s="71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67"/>
      <c r="Z108" s="54">
        <f>SUM('AC-SVC'!C108)*Z$7</f>
        <v>0</v>
      </c>
      <c r="AA108" s="54">
        <f>SUM('AC-SVC'!E108)</f>
        <v>0</v>
      </c>
      <c r="AB108" s="54">
        <f>SUM('AC-SVC'!H108)</f>
        <v>0</v>
      </c>
      <c r="AC108" s="54">
        <f>SUM('AC-SVC'!K108)</f>
        <v>0</v>
      </c>
      <c r="AD108" s="54">
        <f>SUM('AC-SVC'!N108)</f>
        <v>0</v>
      </c>
      <c r="AE108" s="54">
        <f>SUM('AC-SVC'!P108)*AE$7</f>
        <v>0</v>
      </c>
      <c r="AF108" s="54">
        <f>SUM(PT!D108)</f>
        <v>0</v>
      </c>
      <c r="AG108" s="54">
        <f>SUM(CCLC!D108)</f>
        <v>0</v>
      </c>
      <c r="AH108" s="54">
        <f>SUM(FC!E108)</f>
        <v>0</v>
      </c>
      <c r="AI108" s="54">
        <v>0</v>
      </c>
      <c r="AJ108" s="54">
        <f>SUM(FS!E108)</f>
        <v>0</v>
      </c>
      <c r="AK108" s="54">
        <f>SUM(IT!E108)</f>
        <v>18300</v>
      </c>
      <c r="AL108" s="67"/>
      <c r="AM108" s="60">
        <f t="shared" ref="AM108:AM121" si="147">SUM(C108:G108)+SUM(Z108:AK108)</f>
        <v>18300</v>
      </c>
      <c r="AO108" s="121">
        <v>1875</v>
      </c>
      <c r="AP108" s="288">
        <f>SUM(Sheet1!J108)</f>
        <v>4715.8018867924529</v>
      </c>
    </row>
    <row r="109" spans="1:42" ht="12">
      <c r="A109" s="31" t="s">
        <v>41</v>
      </c>
      <c r="B109" s="31" t="s">
        <v>42</v>
      </c>
      <c r="C109" s="38"/>
      <c r="D109" s="38">
        <f t="shared" si="145"/>
        <v>0</v>
      </c>
      <c r="E109" s="38">
        <f t="shared" si="146"/>
        <v>15000</v>
      </c>
      <c r="F109" s="38"/>
      <c r="G109" s="38"/>
      <c r="H109" s="71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>
        <v>15000</v>
      </c>
      <c r="V109" s="38"/>
      <c r="W109" s="38"/>
      <c r="X109" s="38"/>
      <c r="Y109" s="67"/>
      <c r="Z109" s="54">
        <f>SUM('AC-SVC'!C109)*Z$7</f>
        <v>0</v>
      </c>
      <c r="AA109" s="54">
        <f>SUM('AC-SVC'!E109)</f>
        <v>0</v>
      </c>
      <c r="AB109" s="54">
        <f>SUM('AC-SVC'!H109)</f>
        <v>16800</v>
      </c>
      <c r="AC109" s="54">
        <f>SUM('AC-SVC'!K109)</f>
        <v>0</v>
      </c>
      <c r="AD109" s="54">
        <f>SUM('AC-SVC'!N109)</f>
        <v>2200</v>
      </c>
      <c r="AE109" s="54">
        <f>SUM('AC-SVC'!P109)*AE$7</f>
        <v>0</v>
      </c>
      <c r="AF109" s="54">
        <f>SUM(PT!D109)</f>
        <v>0</v>
      </c>
      <c r="AG109" s="54">
        <f>SUM(CCLC!D109)</f>
        <v>0</v>
      </c>
      <c r="AH109" s="54">
        <f>SUM(FC!E109)</f>
        <v>0</v>
      </c>
      <c r="AI109" s="54">
        <v>0</v>
      </c>
      <c r="AJ109" s="54">
        <f>SUM(FS!E109)</f>
        <v>0</v>
      </c>
      <c r="AK109" s="54">
        <f>SUM(IT!E109)</f>
        <v>0</v>
      </c>
      <c r="AL109" s="67"/>
      <c r="AM109" s="60">
        <f t="shared" si="147"/>
        <v>34000</v>
      </c>
      <c r="AO109" s="121">
        <v>23544.38</v>
      </c>
      <c r="AP109" s="288">
        <f>SUM(Sheet1!J109)</f>
        <v>80286.756320754721</v>
      </c>
    </row>
    <row r="110" spans="1:42" ht="12">
      <c r="A110" s="31" t="s">
        <v>43</v>
      </c>
      <c r="B110" s="31" t="s">
        <v>238</v>
      </c>
      <c r="C110" s="38"/>
      <c r="D110" s="38">
        <f t="shared" si="145"/>
        <v>1200</v>
      </c>
      <c r="E110" s="38">
        <f t="shared" si="146"/>
        <v>4800</v>
      </c>
      <c r="F110" s="38">
        <v>1500</v>
      </c>
      <c r="G110" s="38">
        <v>400</v>
      </c>
      <c r="H110" s="71"/>
      <c r="I110" s="38">
        <v>400</v>
      </c>
      <c r="J110" s="38">
        <v>400</v>
      </c>
      <c r="K110" s="38">
        <v>400</v>
      </c>
      <c r="L110" s="38">
        <v>400</v>
      </c>
      <c r="M110" s="38">
        <v>400</v>
      </c>
      <c r="N110" s="38">
        <v>400</v>
      </c>
      <c r="O110" s="38">
        <v>400</v>
      </c>
      <c r="P110" s="38">
        <v>400</v>
      </c>
      <c r="Q110" s="38">
        <v>400</v>
      </c>
      <c r="R110" s="38">
        <v>400</v>
      </c>
      <c r="S110" s="38">
        <v>400</v>
      </c>
      <c r="T110" s="38">
        <v>400</v>
      </c>
      <c r="U110" s="38">
        <v>0</v>
      </c>
      <c r="V110" s="38">
        <v>400</v>
      </c>
      <c r="W110" s="38">
        <v>400</v>
      </c>
      <c r="X110" s="38">
        <v>400</v>
      </c>
      <c r="Y110" s="67"/>
      <c r="Z110" s="54">
        <f>SUM('AC-SVC'!C110)*Z$7</f>
        <v>0</v>
      </c>
      <c r="AA110" s="54">
        <f>SUM('AC-SVC'!E110)</f>
        <v>0</v>
      </c>
      <c r="AB110" s="54">
        <f>SUM('AC-SVC'!H110)</f>
        <v>0</v>
      </c>
      <c r="AC110" s="54">
        <f>SUM('AC-SVC'!K110)</f>
        <v>0</v>
      </c>
      <c r="AD110" s="54">
        <f>SUM('AC-SVC'!N110)</f>
        <v>0</v>
      </c>
      <c r="AE110" s="54">
        <f>SUM('AC-SVC'!P110)*AE$7</f>
        <v>0</v>
      </c>
      <c r="AF110" s="54">
        <f>SUM(PT!D110)</f>
        <v>0</v>
      </c>
      <c r="AG110" s="54">
        <f>SUM(CCLC!D110)</f>
        <v>0</v>
      </c>
      <c r="AH110" s="54">
        <f>SUM(FC!E110)</f>
        <v>0</v>
      </c>
      <c r="AI110" s="54">
        <v>0</v>
      </c>
      <c r="AJ110" s="54">
        <f>SUM(FS!E110)</f>
        <v>250</v>
      </c>
      <c r="AK110" s="54">
        <f>SUM(IT!E110)</f>
        <v>0</v>
      </c>
      <c r="AL110" s="67"/>
      <c r="AM110" s="60">
        <f t="shared" si="147"/>
        <v>8150</v>
      </c>
      <c r="AO110" s="121">
        <v>962.71</v>
      </c>
      <c r="AP110" s="288">
        <f>SUM(Sheet1!J110)</f>
        <v>1938.0850471698113</v>
      </c>
    </row>
    <row r="111" spans="1:42" ht="12">
      <c r="A111" s="31" t="s">
        <v>44</v>
      </c>
      <c r="B111" s="31" t="s">
        <v>45</v>
      </c>
      <c r="C111" s="38"/>
      <c r="D111" s="38">
        <f t="shared" si="145"/>
        <v>0</v>
      </c>
      <c r="E111" s="38">
        <f t="shared" si="146"/>
        <v>0</v>
      </c>
      <c r="F111" s="38"/>
      <c r="G111" s="38"/>
      <c r="H111" s="71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67"/>
      <c r="Z111" s="54">
        <f>SUM('AC-SVC'!C111)*Z$7</f>
        <v>0</v>
      </c>
      <c r="AA111" s="54">
        <f>SUM('AC-SVC'!E111)</f>
        <v>0</v>
      </c>
      <c r="AB111" s="54">
        <f>SUM('AC-SVC'!H111)</f>
        <v>0</v>
      </c>
      <c r="AC111" s="54">
        <f>SUM('AC-SVC'!K111)</f>
        <v>0</v>
      </c>
      <c r="AD111" s="54">
        <f>SUM('AC-SVC'!N111)</f>
        <v>600</v>
      </c>
      <c r="AE111" s="54">
        <f>SUM('AC-SVC'!P111)*AE$7</f>
        <v>0</v>
      </c>
      <c r="AF111" s="54">
        <f>SUM(PT!D111)</f>
        <v>0</v>
      </c>
      <c r="AG111" s="54">
        <f>SUM(CCLC!D111)</f>
        <v>0</v>
      </c>
      <c r="AH111" s="54">
        <f>SUM(FC!E111)</f>
        <v>1000</v>
      </c>
      <c r="AI111" s="54">
        <v>0</v>
      </c>
      <c r="AJ111" s="54">
        <f>SUM(FS!E111)</f>
        <v>0</v>
      </c>
      <c r="AK111" s="54">
        <f>SUM(IT!E111)</f>
        <v>0</v>
      </c>
      <c r="AL111" s="67"/>
      <c r="AM111" s="60">
        <f t="shared" si="147"/>
        <v>1600</v>
      </c>
      <c r="AO111" s="121"/>
      <c r="AP111" s="288">
        <f>SUM(Sheet1!J111)</f>
        <v>0</v>
      </c>
    </row>
    <row r="112" spans="1:42" ht="12">
      <c r="A112" s="31" t="s">
        <v>46</v>
      </c>
      <c r="B112" s="31" t="s">
        <v>239</v>
      </c>
      <c r="C112" s="38"/>
      <c r="D112" s="38">
        <f t="shared" si="145"/>
        <v>0</v>
      </c>
      <c r="E112" s="38">
        <f t="shared" si="146"/>
        <v>0</v>
      </c>
      <c r="F112" s="38"/>
      <c r="G112" s="38"/>
      <c r="H112" s="71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67"/>
      <c r="Z112" s="54">
        <f>SUM('AC-SVC'!C112)*Z$7</f>
        <v>0</v>
      </c>
      <c r="AA112" s="54">
        <f>SUM('AC-SVC'!E112)</f>
        <v>0</v>
      </c>
      <c r="AB112" s="54">
        <f>SUM('AC-SVC'!H112)</f>
        <v>0</v>
      </c>
      <c r="AC112" s="54">
        <f>SUM('AC-SVC'!K112)</f>
        <v>0</v>
      </c>
      <c r="AD112" s="54">
        <f>SUM('AC-SVC'!N112)</f>
        <v>0</v>
      </c>
      <c r="AE112" s="54">
        <f>SUM('AC-SVC'!P112)*AE$7</f>
        <v>0</v>
      </c>
      <c r="AF112" s="54">
        <f>SUM(PT!D112)</f>
        <v>0</v>
      </c>
      <c r="AG112" s="54">
        <f>SUM(CCLC!D112)</f>
        <v>0</v>
      </c>
      <c r="AH112" s="54">
        <f>SUM(FC!E112)</f>
        <v>0</v>
      </c>
      <c r="AI112" s="54">
        <v>0</v>
      </c>
      <c r="AJ112" s="54">
        <f>SUM(FS!E112)</f>
        <v>0</v>
      </c>
      <c r="AK112" s="54">
        <f>SUM(IT!E112)</f>
        <v>0</v>
      </c>
      <c r="AL112" s="67"/>
      <c r="AM112" s="60">
        <f t="shared" si="147"/>
        <v>0</v>
      </c>
      <c r="AO112" s="121">
        <v>97.65</v>
      </c>
      <c r="AP112" s="288">
        <f>SUM(Sheet1!J112)</f>
        <v>629.94594339622654</v>
      </c>
    </row>
    <row r="113" spans="1:42" ht="12">
      <c r="A113" s="31" t="s">
        <v>47</v>
      </c>
      <c r="B113" s="31" t="s">
        <v>240</v>
      </c>
      <c r="C113" s="38"/>
      <c r="D113" s="38">
        <f t="shared" si="145"/>
        <v>0</v>
      </c>
      <c r="E113" s="38">
        <f t="shared" si="146"/>
        <v>0</v>
      </c>
      <c r="F113" s="38"/>
      <c r="G113" s="38"/>
      <c r="H113" s="71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67"/>
      <c r="Z113" s="54">
        <f>SUM('AC-SVC'!C113)*Z$7</f>
        <v>0</v>
      </c>
      <c r="AA113" s="54">
        <f>SUM('AC-SVC'!E113)</f>
        <v>0</v>
      </c>
      <c r="AB113" s="54">
        <f>SUM('AC-SVC'!H113)</f>
        <v>0</v>
      </c>
      <c r="AC113" s="54">
        <f>SUM('AC-SVC'!K113)</f>
        <v>0</v>
      </c>
      <c r="AD113" s="54">
        <f>SUM('AC-SVC'!N113)</f>
        <v>0</v>
      </c>
      <c r="AE113" s="54">
        <f>SUM('AC-SVC'!P113)*AE$7</f>
        <v>0</v>
      </c>
      <c r="AF113" s="54">
        <f>SUM(PT!D113)</f>
        <v>0</v>
      </c>
      <c r="AG113" s="54">
        <f>SUM(CCLC!D113)</f>
        <v>0</v>
      </c>
      <c r="AH113" s="54">
        <f>SUM(FC!E113)</f>
        <v>0</v>
      </c>
      <c r="AI113" s="54">
        <v>0</v>
      </c>
      <c r="AJ113" s="54">
        <f>SUM(FS!E113)</f>
        <v>0</v>
      </c>
      <c r="AK113" s="54">
        <f>SUM(IT!E113)</f>
        <v>0</v>
      </c>
      <c r="AL113" s="67"/>
      <c r="AM113" s="60">
        <f t="shared" si="147"/>
        <v>0</v>
      </c>
      <c r="AO113" s="121">
        <v>0</v>
      </c>
      <c r="AP113" s="288">
        <f>SUM(Sheet1!J113)</f>
        <v>4554.6046226415092</v>
      </c>
    </row>
    <row r="114" spans="1:42" ht="12">
      <c r="A114" s="31" t="s">
        <v>48</v>
      </c>
      <c r="B114" s="31" t="s">
        <v>49</v>
      </c>
      <c r="C114" s="38"/>
      <c r="D114" s="38">
        <f t="shared" si="145"/>
        <v>0</v>
      </c>
      <c r="E114" s="38">
        <f t="shared" si="146"/>
        <v>0</v>
      </c>
      <c r="F114" s="38"/>
      <c r="G114" s="38"/>
      <c r="H114" s="71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67"/>
      <c r="Z114" s="54">
        <f>SUM('AC-SVC'!C114)*Z$7</f>
        <v>0</v>
      </c>
      <c r="AA114" s="54">
        <f>SUM('AC-SVC'!E114)</f>
        <v>0</v>
      </c>
      <c r="AB114" s="54">
        <f>SUM('AC-SVC'!H114)</f>
        <v>0</v>
      </c>
      <c r="AC114" s="54">
        <f>SUM('AC-SVC'!K114)</f>
        <v>0</v>
      </c>
      <c r="AD114" s="54">
        <f>SUM('AC-SVC'!N114)</f>
        <v>0</v>
      </c>
      <c r="AE114" s="54">
        <f>SUM('AC-SVC'!P114)*AE$7</f>
        <v>0</v>
      </c>
      <c r="AF114" s="54">
        <f>SUM(PT!D114)</f>
        <v>0</v>
      </c>
      <c r="AG114" s="54">
        <f>SUM(CCLC!D114)</f>
        <v>0</v>
      </c>
      <c r="AH114" s="54">
        <f>SUM(FC!E114)</f>
        <v>4300</v>
      </c>
      <c r="AI114" s="54">
        <v>0</v>
      </c>
      <c r="AJ114" s="54">
        <f>SUM(FS!E114)</f>
        <v>0</v>
      </c>
      <c r="AK114" s="54">
        <f>SUM(IT!E114)</f>
        <v>1800</v>
      </c>
      <c r="AL114" s="67"/>
      <c r="AM114" s="60">
        <f t="shared" si="147"/>
        <v>6100</v>
      </c>
      <c r="AO114" s="121">
        <v>2763.24</v>
      </c>
      <c r="AP114" s="288">
        <f>SUM(Sheet1!J114)</f>
        <v>5311.0800943396216</v>
      </c>
    </row>
    <row r="115" spans="1:42" ht="12">
      <c r="A115" s="31" t="s">
        <v>82</v>
      </c>
      <c r="B115" s="31" t="s">
        <v>166</v>
      </c>
      <c r="C115" s="38"/>
      <c r="D115" s="38">
        <f t="shared" si="145"/>
        <v>150</v>
      </c>
      <c r="E115" s="38">
        <f t="shared" si="146"/>
        <v>600</v>
      </c>
      <c r="F115" s="38"/>
      <c r="G115" s="38"/>
      <c r="H115" s="71"/>
      <c r="I115" s="38">
        <v>50</v>
      </c>
      <c r="J115" s="38">
        <v>50</v>
      </c>
      <c r="K115" s="38">
        <v>50</v>
      </c>
      <c r="L115" s="38">
        <v>50</v>
      </c>
      <c r="M115" s="38">
        <v>50</v>
      </c>
      <c r="N115" s="38">
        <v>50</v>
      </c>
      <c r="O115" s="38">
        <v>50</v>
      </c>
      <c r="P115" s="38">
        <v>50</v>
      </c>
      <c r="Q115" s="38">
        <v>50</v>
      </c>
      <c r="R115" s="38">
        <v>50</v>
      </c>
      <c r="S115" s="38">
        <v>50</v>
      </c>
      <c r="T115" s="38">
        <v>50</v>
      </c>
      <c r="U115" s="38">
        <v>0</v>
      </c>
      <c r="V115" s="38">
        <v>50</v>
      </c>
      <c r="W115" s="38">
        <v>50</v>
      </c>
      <c r="X115" s="38">
        <v>50</v>
      </c>
      <c r="Y115" s="67"/>
      <c r="Z115" s="54">
        <f>SUM('AC-SVC'!C115)*Z$7</f>
        <v>0</v>
      </c>
      <c r="AA115" s="54">
        <f>SUM('AC-SVC'!E115)</f>
        <v>0</v>
      </c>
      <c r="AB115" s="54">
        <f>SUM('AC-SVC'!H115)</f>
        <v>0</v>
      </c>
      <c r="AC115" s="54">
        <f>SUM('AC-SVC'!K115)</f>
        <v>0</v>
      </c>
      <c r="AD115" s="54">
        <f>SUM('AC-SVC'!N115)</f>
        <v>0</v>
      </c>
      <c r="AE115" s="54">
        <f>SUM('AC-SVC'!P115)*AE$7</f>
        <v>0</v>
      </c>
      <c r="AF115" s="54">
        <f>SUM(PT!D115)</f>
        <v>0</v>
      </c>
      <c r="AG115" s="54">
        <f>SUM(CCLC!D115)</f>
        <v>0</v>
      </c>
      <c r="AH115" s="54">
        <f>SUM(FC!E115)</f>
        <v>0</v>
      </c>
      <c r="AI115" s="54">
        <v>0</v>
      </c>
      <c r="AJ115" s="54">
        <f>SUM(FS!E115)</f>
        <v>0</v>
      </c>
      <c r="AK115" s="54">
        <f>SUM(IT!E115)</f>
        <v>0</v>
      </c>
      <c r="AL115" s="67"/>
      <c r="AM115" s="60">
        <f t="shared" si="147"/>
        <v>750</v>
      </c>
      <c r="AO115" s="121">
        <v>0</v>
      </c>
      <c r="AP115" s="288">
        <f>SUM(Sheet1!J115)</f>
        <v>30.424528301886792</v>
      </c>
    </row>
    <row r="116" spans="1:42" ht="12">
      <c r="A116" s="31" t="s">
        <v>104</v>
      </c>
      <c r="B116" s="31" t="s">
        <v>103</v>
      </c>
      <c r="C116" s="38"/>
      <c r="D116" s="38">
        <f t="shared" si="145"/>
        <v>0</v>
      </c>
      <c r="E116" s="38">
        <f t="shared" si="146"/>
        <v>0</v>
      </c>
      <c r="F116" s="38"/>
      <c r="G116" s="38"/>
      <c r="H116" s="71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67"/>
      <c r="Z116" s="54">
        <f>SUM('AC-SVC'!C116)*Z$7</f>
        <v>0</v>
      </c>
      <c r="AA116" s="54">
        <f>SUM('AC-SVC'!E116)</f>
        <v>0</v>
      </c>
      <c r="AB116" s="54">
        <f>SUM('AC-SVC'!H116)</f>
        <v>0</v>
      </c>
      <c r="AC116" s="54">
        <f>SUM('AC-SVC'!K116)</f>
        <v>0</v>
      </c>
      <c r="AD116" s="54">
        <f>SUM('AC-SVC'!N116)</f>
        <v>0</v>
      </c>
      <c r="AE116" s="54">
        <f>SUM('AC-SVC'!P116)*AE$7</f>
        <v>0</v>
      </c>
      <c r="AF116" s="54">
        <f>SUM(PT!D116)</f>
        <v>0</v>
      </c>
      <c r="AG116" s="54">
        <f>SUM(CCLC!D116)</f>
        <v>0</v>
      </c>
      <c r="AH116" s="54">
        <f>SUM(FC!E116)</f>
        <v>0</v>
      </c>
      <c r="AI116" s="54">
        <v>0</v>
      </c>
      <c r="AJ116" s="54">
        <f>SUM(FS!E116)</f>
        <v>0</v>
      </c>
      <c r="AK116" s="54">
        <f>SUM(IT!E116)</f>
        <v>0</v>
      </c>
      <c r="AL116" s="67"/>
      <c r="AM116" s="60">
        <f t="shared" si="147"/>
        <v>0</v>
      </c>
      <c r="AO116" s="121"/>
      <c r="AP116" s="288">
        <f>SUM(Sheet1!J116)</f>
        <v>0</v>
      </c>
    </row>
    <row r="117" spans="1:42" ht="12">
      <c r="A117" s="31" t="s">
        <v>59</v>
      </c>
      <c r="B117" s="31" t="s">
        <v>318</v>
      </c>
      <c r="C117" s="38"/>
      <c r="D117" s="38">
        <f t="shared" si="145"/>
        <v>0</v>
      </c>
      <c r="E117" s="38">
        <f t="shared" si="146"/>
        <v>0</v>
      </c>
      <c r="F117" s="38"/>
      <c r="G117" s="38"/>
      <c r="H117" s="71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67"/>
      <c r="Z117" s="54">
        <f>SUM('AC-SVC'!C117)*Z$7</f>
        <v>0</v>
      </c>
      <c r="AA117" s="54">
        <f>SUM('AC-SVC'!E117)</f>
        <v>0</v>
      </c>
      <c r="AB117" s="54">
        <f>SUM('AC-SVC'!H117)</f>
        <v>0</v>
      </c>
      <c r="AC117" s="54">
        <f>SUM('AC-SVC'!K117)</f>
        <v>0</v>
      </c>
      <c r="AD117" s="54">
        <f>SUM('AC-SVC'!N117)</f>
        <v>0</v>
      </c>
      <c r="AE117" s="54">
        <f>SUM('AC-SVC'!P117)*AE$7</f>
        <v>0</v>
      </c>
      <c r="AF117" s="54">
        <f>SUM(PT!D117)</f>
        <v>0</v>
      </c>
      <c r="AG117" s="54">
        <f>SUM(CCLC!D117)</f>
        <v>0</v>
      </c>
      <c r="AH117" s="54">
        <f>SUM(FC!E117)</f>
        <v>1000</v>
      </c>
      <c r="AI117" s="54">
        <v>0</v>
      </c>
      <c r="AJ117" s="54">
        <f>SUM(FS!E117)</f>
        <v>0</v>
      </c>
      <c r="AK117" s="54">
        <f>SUM(IT!E117)</f>
        <v>0</v>
      </c>
      <c r="AL117" s="67"/>
      <c r="AM117" s="60">
        <f t="shared" si="147"/>
        <v>1000</v>
      </c>
      <c r="AO117" s="121">
        <v>324</v>
      </c>
      <c r="AP117" s="288">
        <f>SUM(Sheet1!J117)</f>
        <v>630.74306603773584</v>
      </c>
    </row>
    <row r="118" spans="1:42" ht="12">
      <c r="A118" s="31" t="s">
        <v>87</v>
      </c>
      <c r="B118" s="31" t="s">
        <v>88</v>
      </c>
      <c r="C118" s="38"/>
      <c r="D118" s="38">
        <f t="shared" si="145"/>
        <v>0</v>
      </c>
      <c r="E118" s="38">
        <f t="shared" si="146"/>
        <v>0</v>
      </c>
      <c r="F118" s="38"/>
      <c r="G118" s="38"/>
      <c r="H118" s="71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67"/>
      <c r="Z118" s="54">
        <f>SUM('AC-SVC'!C118)*Z$7</f>
        <v>0</v>
      </c>
      <c r="AA118" s="54">
        <f>SUM('AC-SVC'!E118)</f>
        <v>0</v>
      </c>
      <c r="AB118" s="54">
        <f>SUM('AC-SVC'!H118)</f>
        <v>0</v>
      </c>
      <c r="AC118" s="54">
        <f>SUM('AC-SVC'!K118)</f>
        <v>0</v>
      </c>
      <c r="AD118" s="54">
        <f>SUM('AC-SVC'!N118)</f>
        <v>0</v>
      </c>
      <c r="AE118" s="54">
        <f>SUM('AC-SVC'!P118)*AE$7</f>
        <v>0</v>
      </c>
      <c r="AF118" s="54">
        <f>SUM(PT!D118)</f>
        <v>0</v>
      </c>
      <c r="AG118" s="54">
        <f>SUM(CCLC!D118)</f>
        <v>0</v>
      </c>
      <c r="AH118" s="54">
        <f>SUM(FC!E118)</f>
        <v>0</v>
      </c>
      <c r="AI118" s="54">
        <v>0</v>
      </c>
      <c r="AJ118" s="54">
        <f>SUM(FS!E118)</f>
        <v>0</v>
      </c>
      <c r="AK118" s="54">
        <f>SUM(IT!E118)</f>
        <v>0</v>
      </c>
      <c r="AL118" s="67"/>
      <c r="AM118" s="60">
        <f t="shared" si="147"/>
        <v>0</v>
      </c>
      <c r="AO118" s="121">
        <v>1316.88</v>
      </c>
      <c r="AP118" s="288">
        <f>SUM(Sheet1!J118)</f>
        <v>3253.7674056603778</v>
      </c>
    </row>
    <row r="119" spans="1:42" ht="12">
      <c r="A119" s="31" t="s">
        <v>89</v>
      </c>
      <c r="B119" s="31" t="s">
        <v>90</v>
      </c>
      <c r="C119" s="38"/>
      <c r="D119" s="38">
        <f t="shared" si="145"/>
        <v>0</v>
      </c>
      <c r="E119" s="38">
        <f t="shared" si="146"/>
        <v>0</v>
      </c>
      <c r="F119" s="38"/>
      <c r="G119" s="38"/>
      <c r="H119" s="71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67"/>
      <c r="Z119" s="54">
        <f>SUM('AC-SVC'!C119)*Z$7</f>
        <v>0</v>
      </c>
      <c r="AA119" s="54">
        <f>SUM('AC-SVC'!E119)</f>
        <v>0</v>
      </c>
      <c r="AB119" s="54">
        <f>SUM('AC-SVC'!H119)</f>
        <v>0</v>
      </c>
      <c r="AC119" s="54">
        <f>SUM('AC-SVC'!K119)</f>
        <v>0</v>
      </c>
      <c r="AD119" s="54">
        <f>SUM('AC-SVC'!N119)</f>
        <v>0</v>
      </c>
      <c r="AE119" s="54">
        <f>SUM('AC-SVC'!P119)*AE$7</f>
        <v>0</v>
      </c>
      <c r="AF119" s="54">
        <f>SUM(PT!D119)</f>
        <v>0</v>
      </c>
      <c r="AG119" s="54">
        <f>SUM(CCLC!D119)</f>
        <v>0</v>
      </c>
      <c r="AH119" s="54">
        <f>SUM(FC!E119)</f>
        <v>0</v>
      </c>
      <c r="AI119" s="54">
        <v>0</v>
      </c>
      <c r="AJ119" s="54">
        <f>SUM(FS!E119)</f>
        <v>0</v>
      </c>
      <c r="AK119" s="54">
        <f>SUM(IT!E119)</f>
        <v>0</v>
      </c>
      <c r="AL119" s="67"/>
      <c r="AM119" s="60">
        <f t="shared" si="147"/>
        <v>0</v>
      </c>
      <c r="AO119" s="121">
        <v>1457.34</v>
      </c>
      <c r="AP119" s="288">
        <f>SUM(Sheet1!J119)</f>
        <v>1904.9446226415093</v>
      </c>
    </row>
    <row r="120" spans="1:42" ht="12">
      <c r="A120" s="31" t="s">
        <v>413</v>
      </c>
      <c r="B120" s="31" t="s">
        <v>414</v>
      </c>
      <c r="C120" s="38"/>
      <c r="D120" s="38">
        <f t="shared" si="145"/>
        <v>0</v>
      </c>
      <c r="E120" s="38">
        <f t="shared" si="146"/>
        <v>0</v>
      </c>
      <c r="F120" s="38"/>
      <c r="G120" s="38"/>
      <c r="H120" s="71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67"/>
      <c r="Z120" s="54">
        <f>SUM('AC-SVC'!C120)*Z$7</f>
        <v>0</v>
      </c>
      <c r="AA120" s="54">
        <f>SUM('AC-SVC'!E120)</f>
        <v>0</v>
      </c>
      <c r="AB120" s="54">
        <f>SUM('AC-SVC'!H120)</f>
        <v>0</v>
      </c>
      <c r="AC120" s="54">
        <f>SUM('AC-SVC'!K120)</f>
        <v>0</v>
      </c>
      <c r="AD120" s="54">
        <f>SUM('AC-SVC'!N120)</f>
        <v>0</v>
      </c>
      <c r="AE120" s="54">
        <f>SUM('AC-SVC'!P120)*AE$7</f>
        <v>0</v>
      </c>
      <c r="AF120" s="54">
        <f>SUM(PT!D120)</f>
        <v>0</v>
      </c>
      <c r="AG120" s="54">
        <f>SUM(CCLC!D120)</f>
        <v>0</v>
      </c>
      <c r="AH120" s="54">
        <f>SUM(FC!E120)</f>
        <v>0</v>
      </c>
      <c r="AI120" s="54">
        <v>0</v>
      </c>
      <c r="AJ120" s="54">
        <f>SUM(FS!E120)</f>
        <v>0</v>
      </c>
      <c r="AK120" s="54">
        <f>SUM(IT!E120)</f>
        <v>0</v>
      </c>
      <c r="AL120" s="67"/>
      <c r="AM120" s="60">
        <f t="shared" si="147"/>
        <v>0</v>
      </c>
      <c r="AO120" s="121">
        <v>151.88</v>
      </c>
      <c r="AP120" s="288">
        <f>SUM(Sheet1!J120)</f>
        <v>41334.766179245285</v>
      </c>
    </row>
    <row r="121" spans="1:42" ht="12">
      <c r="A121" s="31" t="s">
        <v>52</v>
      </c>
      <c r="B121" s="31" t="s">
        <v>53</v>
      </c>
      <c r="C121" s="39"/>
      <c r="D121" s="39">
        <f t="shared" si="145"/>
        <v>0</v>
      </c>
      <c r="E121" s="39">
        <f t="shared" si="146"/>
        <v>0</v>
      </c>
      <c r="F121" s="39"/>
      <c r="G121" s="39"/>
      <c r="H121" s="73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67"/>
      <c r="Z121" s="39">
        <f>SUM('AC-SVC'!C121)*Z$7</f>
        <v>0</v>
      </c>
      <c r="AA121" s="39">
        <f>SUM('AC-SVC'!E121)</f>
        <v>0</v>
      </c>
      <c r="AB121" s="39">
        <f>SUM('AC-SVC'!H121)</f>
        <v>0</v>
      </c>
      <c r="AC121" s="39">
        <f>SUM('AC-SVC'!K121)</f>
        <v>0</v>
      </c>
      <c r="AD121" s="39">
        <f>SUM('AC-SVC'!N121)</f>
        <v>0</v>
      </c>
      <c r="AE121" s="39">
        <f>SUM('AC-SVC'!P121)*AE$7</f>
        <v>0</v>
      </c>
      <c r="AF121" s="39">
        <f>SUM(PT!D121)</f>
        <v>4500</v>
      </c>
      <c r="AG121" s="39">
        <f>SUM(CCLC!D121)</f>
        <v>0</v>
      </c>
      <c r="AH121" s="39">
        <f>SUM(FC!E121)</f>
        <v>0</v>
      </c>
      <c r="AI121" s="39">
        <v>0</v>
      </c>
      <c r="AJ121" s="39">
        <f>SUM(FS!E121)</f>
        <v>0</v>
      </c>
      <c r="AK121" s="39">
        <f>SUM(IT!E121)</f>
        <v>0</v>
      </c>
      <c r="AL121" s="67"/>
      <c r="AM121" s="59">
        <f t="shared" si="147"/>
        <v>4500</v>
      </c>
      <c r="AO121" s="122">
        <v>1049.18</v>
      </c>
      <c r="AP121" s="289">
        <f>SUM(Sheet1!J121)</f>
        <v>5695.9544339622644</v>
      </c>
    </row>
    <row r="122" spans="1:42" ht="10">
      <c r="B122" s="31" t="s">
        <v>241</v>
      </c>
      <c r="C122" s="38">
        <f>SUM(C108:C121)</f>
        <v>0</v>
      </c>
      <c r="D122" s="38">
        <f t="shared" ref="D122:G122" si="148">SUM(D108:D121)</f>
        <v>1350</v>
      </c>
      <c r="E122" s="38">
        <f t="shared" si="148"/>
        <v>20400</v>
      </c>
      <c r="F122" s="38">
        <f t="shared" si="148"/>
        <v>1500</v>
      </c>
      <c r="G122" s="38">
        <f t="shared" si="148"/>
        <v>400</v>
      </c>
      <c r="H122" s="71"/>
      <c r="I122" s="38">
        <f t="shared" ref="I122" si="149">SUM(I108:I121)</f>
        <v>450</v>
      </c>
      <c r="J122" s="38">
        <f t="shared" ref="J122:K122" si="150">SUM(J108:J121)</f>
        <v>450</v>
      </c>
      <c r="K122" s="38">
        <f t="shared" si="150"/>
        <v>450</v>
      </c>
      <c r="L122" s="38">
        <f t="shared" ref="L122" si="151">SUM(L108:L121)</f>
        <v>450</v>
      </c>
      <c r="M122" s="38">
        <f t="shared" ref="M122" si="152">SUM(M108:M121)</f>
        <v>450</v>
      </c>
      <c r="N122" s="38">
        <f t="shared" ref="N122" si="153">SUM(N108:N121)</f>
        <v>450</v>
      </c>
      <c r="O122" s="38">
        <f t="shared" ref="O122" si="154">SUM(O108:O121)</f>
        <v>450</v>
      </c>
      <c r="P122" s="38">
        <f t="shared" ref="P122" si="155">SUM(P108:P121)</f>
        <v>450</v>
      </c>
      <c r="Q122" s="38">
        <f t="shared" ref="Q122:R122" si="156">SUM(Q108:Q121)</f>
        <v>450</v>
      </c>
      <c r="R122" s="38">
        <f t="shared" si="156"/>
        <v>450</v>
      </c>
      <c r="S122" s="38">
        <f t="shared" ref="S122" si="157">SUM(S108:S121)</f>
        <v>450</v>
      </c>
      <c r="T122" s="38">
        <f t="shared" ref="T122" si="158">SUM(T108:T121)</f>
        <v>450</v>
      </c>
      <c r="U122" s="38">
        <f t="shared" ref="U122" si="159">SUM(U108:U121)</f>
        <v>15000</v>
      </c>
      <c r="V122" s="38">
        <f t="shared" ref="V122" si="160">SUM(V108:V121)</f>
        <v>450</v>
      </c>
      <c r="W122" s="38">
        <f t="shared" ref="W122" si="161">SUM(W108:W121)</f>
        <v>450</v>
      </c>
      <c r="X122" s="38">
        <f t="shared" ref="X122" si="162">SUM(X108:X121)</f>
        <v>450</v>
      </c>
      <c r="Y122" s="67"/>
      <c r="Z122" s="38">
        <f t="shared" ref="Z122" si="163">+SUM(Z108:Z121)</f>
        <v>0</v>
      </c>
      <c r="AA122" s="38">
        <f t="shared" ref="AA122:AK122" si="164">+SUM(AA108:AA121)</f>
        <v>0</v>
      </c>
      <c r="AB122" s="38">
        <f t="shared" si="164"/>
        <v>16800</v>
      </c>
      <c r="AC122" s="38">
        <f t="shared" si="164"/>
        <v>0</v>
      </c>
      <c r="AD122" s="38">
        <f t="shared" si="164"/>
        <v>2800</v>
      </c>
      <c r="AE122" s="38">
        <f t="shared" ref="AE122" si="165">+SUM(AE108:AE121)</f>
        <v>0</v>
      </c>
      <c r="AF122" s="38">
        <f t="shared" si="164"/>
        <v>4500</v>
      </c>
      <c r="AG122" s="38">
        <f t="shared" si="164"/>
        <v>0</v>
      </c>
      <c r="AH122" s="38">
        <f t="shared" si="164"/>
        <v>6300</v>
      </c>
      <c r="AI122" s="38">
        <f t="shared" si="164"/>
        <v>0</v>
      </c>
      <c r="AJ122" s="38">
        <f t="shared" si="164"/>
        <v>250</v>
      </c>
      <c r="AK122" s="38">
        <f t="shared" si="164"/>
        <v>20100</v>
      </c>
      <c r="AL122" s="67"/>
      <c r="AM122" s="50">
        <f>SUM(AM108:AM121)</f>
        <v>74400</v>
      </c>
      <c r="AO122" s="120">
        <f>SUM(AO108:AO121)</f>
        <v>33542.26</v>
      </c>
      <c r="AP122" s="278">
        <f>SUM(AP108:AP121)</f>
        <v>150286.87415094339</v>
      </c>
    </row>
    <row r="123" spans="1:42">
      <c r="C123" s="38"/>
      <c r="D123" s="38"/>
      <c r="E123" s="38"/>
      <c r="F123" s="38"/>
      <c r="G123" s="38"/>
      <c r="H123" s="71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67"/>
      <c r="Z123" s="38"/>
      <c r="AA123" s="47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67"/>
      <c r="AM123" s="50"/>
      <c r="AO123" s="120"/>
    </row>
    <row r="124" spans="1:42">
      <c r="A124" s="31" t="s">
        <v>242</v>
      </c>
      <c r="C124" s="38"/>
      <c r="D124" s="38"/>
      <c r="E124" s="38"/>
      <c r="F124" s="38"/>
      <c r="G124" s="38"/>
      <c r="H124" s="71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67"/>
      <c r="Z124" s="38"/>
      <c r="AA124" s="47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67"/>
      <c r="AM124" s="50"/>
      <c r="AO124" s="120"/>
    </row>
    <row r="125" spans="1:42" ht="12">
      <c r="A125" s="31" t="s">
        <v>56</v>
      </c>
      <c r="B125" s="31" t="s">
        <v>245</v>
      </c>
      <c r="C125" s="38"/>
      <c r="D125" s="38">
        <f t="shared" ref="D125:D132" si="166">SUM(I125:K125)</f>
        <v>0</v>
      </c>
      <c r="E125" s="38">
        <f t="shared" ref="E125:E132" si="167">SUM(L125:X125)</f>
        <v>0</v>
      </c>
      <c r="F125" s="38"/>
      <c r="G125" s="38"/>
      <c r="H125" s="71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67"/>
      <c r="Z125" s="54">
        <f>SUM('AC-SVC'!C125)*Z$7</f>
        <v>0</v>
      </c>
      <c r="AA125" s="54">
        <f>SUM('AC-SVC'!E125)</f>
        <v>0</v>
      </c>
      <c r="AB125" s="54">
        <f>SUM('AC-SVC'!H125)</f>
        <v>0</v>
      </c>
      <c r="AC125" s="54">
        <f>SUM('AC-SVC'!K125)</f>
        <v>0</v>
      </c>
      <c r="AD125" s="54">
        <f>SUM('AC-SVC'!N125)</f>
        <v>0</v>
      </c>
      <c r="AE125" s="54">
        <f>SUM('AC-SVC'!P125)*AE$7</f>
        <v>0</v>
      </c>
      <c r="AF125" s="54">
        <f>SUM(PT!D125)</f>
        <v>0</v>
      </c>
      <c r="AG125" s="54">
        <f>SUM(CCLC!D125)</f>
        <v>0</v>
      </c>
      <c r="AH125" s="54">
        <f>SUM(FC!E125)</f>
        <v>6000</v>
      </c>
      <c r="AI125" s="54">
        <v>0</v>
      </c>
      <c r="AJ125" s="54">
        <f>SUM(FS!E125)</f>
        <v>0</v>
      </c>
      <c r="AK125" s="54">
        <f>SUM(IT!E125)</f>
        <v>0</v>
      </c>
      <c r="AL125" s="67"/>
      <c r="AM125" s="60">
        <f t="shared" ref="AM125:AM132" si="168">SUM(C125:G125)+SUM(Z125:AK125)</f>
        <v>6000</v>
      </c>
      <c r="AO125" s="121">
        <v>5967.89</v>
      </c>
      <c r="AP125" s="288">
        <f>SUM(Sheet1!J125)</f>
        <v>1291.3731603773585</v>
      </c>
    </row>
    <row r="126" spans="1:42" ht="12">
      <c r="A126" s="31" t="s">
        <v>57</v>
      </c>
      <c r="B126" s="31" t="s">
        <v>246</v>
      </c>
      <c r="C126" s="38"/>
      <c r="D126" s="38">
        <f t="shared" si="166"/>
        <v>0</v>
      </c>
      <c r="E126" s="38">
        <f t="shared" si="167"/>
        <v>0</v>
      </c>
      <c r="F126" s="38"/>
      <c r="G126" s="38"/>
      <c r="H126" s="71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67"/>
      <c r="Z126" s="54">
        <f>SUM('AC-SVC'!C126)*Z$7</f>
        <v>0</v>
      </c>
      <c r="AA126" s="54">
        <f>SUM('AC-SVC'!E126)</f>
        <v>0</v>
      </c>
      <c r="AB126" s="54">
        <f>SUM('AC-SVC'!H126)</f>
        <v>0</v>
      </c>
      <c r="AC126" s="54">
        <f>SUM('AC-SVC'!K126)</f>
        <v>0</v>
      </c>
      <c r="AD126" s="54">
        <f>SUM('AC-SVC'!N126)</f>
        <v>0</v>
      </c>
      <c r="AE126" s="54">
        <f>SUM('AC-SVC'!P126)*AE$7</f>
        <v>0</v>
      </c>
      <c r="AF126" s="54">
        <f>SUM(PT!D126)</f>
        <v>0</v>
      </c>
      <c r="AG126" s="54">
        <f>SUM(CCLC!D126)</f>
        <v>0</v>
      </c>
      <c r="AH126" s="54">
        <f>SUM(FC!E126)</f>
        <v>4800</v>
      </c>
      <c r="AI126" s="54">
        <v>0</v>
      </c>
      <c r="AJ126" s="54">
        <f>SUM(FS!E126)</f>
        <v>0</v>
      </c>
      <c r="AK126" s="54">
        <f>SUM(IT!E126)</f>
        <v>0</v>
      </c>
      <c r="AL126" s="67"/>
      <c r="AM126" s="60">
        <f t="shared" si="168"/>
        <v>4800</v>
      </c>
      <c r="AO126" s="121">
        <v>4290.72</v>
      </c>
      <c r="AP126" s="288">
        <f>SUM(Sheet1!J126)</f>
        <v>2947.48570754717</v>
      </c>
    </row>
    <row r="127" spans="1:42" ht="12">
      <c r="A127" s="31" t="s">
        <v>58</v>
      </c>
      <c r="B127" s="31" t="s">
        <v>247</v>
      </c>
      <c r="C127" s="38"/>
      <c r="D127" s="38">
        <f t="shared" si="166"/>
        <v>0</v>
      </c>
      <c r="E127" s="38">
        <f t="shared" si="167"/>
        <v>0</v>
      </c>
      <c r="F127" s="38"/>
      <c r="G127" s="38"/>
      <c r="H127" s="71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67"/>
      <c r="Z127" s="54">
        <f>SUM('AC-SVC'!C127)*Z$7</f>
        <v>0</v>
      </c>
      <c r="AA127" s="54">
        <f>SUM('AC-SVC'!E127)</f>
        <v>0</v>
      </c>
      <c r="AB127" s="54">
        <f>SUM('AC-SVC'!H127)</f>
        <v>0</v>
      </c>
      <c r="AC127" s="54">
        <f>SUM('AC-SVC'!K127)</f>
        <v>0</v>
      </c>
      <c r="AD127" s="54">
        <f>SUM('AC-SVC'!N127)</f>
        <v>0</v>
      </c>
      <c r="AE127" s="54">
        <f>SUM('AC-SVC'!P127)*AE$7</f>
        <v>0</v>
      </c>
      <c r="AF127" s="54">
        <f>SUM(PT!D127)</f>
        <v>0</v>
      </c>
      <c r="AG127" s="54">
        <f>SUM(CCLC!D127)</f>
        <v>0</v>
      </c>
      <c r="AH127" s="54">
        <f>SUM(FC!E127)</f>
        <v>300</v>
      </c>
      <c r="AI127" s="54">
        <v>0</v>
      </c>
      <c r="AJ127" s="54">
        <f>SUM(FS!E127)</f>
        <v>100</v>
      </c>
      <c r="AK127" s="54">
        <f>SUM(IT!E127)</f>
        <v>0</v>
      </c>
      <c r="AL127" s="67"/>
      <c r="AM127" s="60">
        <f t="shared" si="168"/>
        <v>400</v>
      </c>
      <c r="AO127" s="121">
        <v>663.93</v>
      </c>
      <c r="AP127" s="288">
        <f>SUM(Sheet1!J127)</f>
        <v>556.46259433962268</v>
      </c>
    </row>
    <row r="128" spans="1:42" ht="12">
      <c r="A128" s="31" t="s">
        <v>55</v>
      </c>
      <c r="B128" s="31" t="s">
        <v>244</v>
      </c>
      <c r="C128" s="38"/>
      <c r="D128" s="38">
        <f t="shared" si="166"/>
        <v>0</v>
      </c>
      <c r="E128" s="38">
        <f t="shared" si="167"/>
        <v>0</v>
      </c>
      <c r="F128" s="38"/>
      <c r="G128" s="38"/>
      <c r="H128" s="71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67"/>
      <c r="Z128" s="54">
        <f>SUM('AC-SVC'!C128)*Z$7</f>
        <v>0</v>
      </c>
      <c r="AA128" s="54">
        <f>SUM('AC-SVC'!E128)</f>
        <v>0</v>
      </c>
      <c r="AB128" s="54">
        <f>SUM('AC-SVC'!H128)</f>
        <v>0</v>
      </c>
      <c r="AC128" s="54">
        <f>SUM('AC-SVC'!K128)</f>
        <v>0</v>
      </c>
      <c r="AD128" s="54">
        <f>SUM('AC-SVC'!N128)</f>
        <v>0</v>
      </c>
      <c r="AE128" s="54">
        <f>SUM('AC-SVC'!P128)*AE$7</f>
        <v>0</v>
      </c>
      <c r="AF128" s="54">
        <f>SUM(PT!D128)</f>
        <v>0</v>
      </c>
      <c r="AG128" s="54">
        <f>SUM(CCLC!D128)</f>
        <v>0</v>
      </c>
      <c r="AH128" s="54">
        <f>SUM(FC!E128)</f>
        <v>4000</v>
      </c>
      <c r="AI128" s="54">
        <v>0</v>
      </c>
      <c r="AJ128" s="54">
        <f>SUM(FS!E128)</f>
        <v>0</v>
      </c>
      <c r="AK128" s="54">
        <f>SUM(IT!E128)</f>
        <v>0</v>
      </c>
      <c r="AL128" s="67"/>
      <c r="AM128" s="60">
        <f t="shared" si="168"/>
        <v>4000</v>
      </c>
      <c r="AO128" s="121">
        <v>52.46</v>
      </c>
      <c r="AP128" s="288">
        <f>SUM(Sheet1!J128)</f>
        <v>923.05179245283023</v>
      </c>
    </row>
    <row r="129" spans="1:42" ht="10.5" customHeight="1">
      <c r="A129" s="31" t="s">
        <v>54</v>
      </c>
      <c r="B129" s="31" t="s">
        <v>243</v>
      </c>
      <c r="C129" s="38"/>
      <c r="D129" s="38">
        <f t="shared" si="166"/>
        <v>0</v>
      </c>
      <c r="E129" s="38">
        <f t="shared" si="167"/>
        <v>0</v>
      </c>
      <c r="F129" s="38"/>
      <c r="G129" s="38"/>
      <c r="H129" s="71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67"/>
      <c r="Z129" s="54">
        <f>SUM('AC-SVC'!C129)*Z$7</f>
        <v>0</v>
      </c>
      <c r="AA129" s="54">
        <f>SUM('AC-SVC'!E129)</f>
        <v>0</v>
      </c>
      <c r="AB129" s="54">
        <f>SUM('AC-SVC'!H129)</f>
        <v>0</v>
      </c>
      <c r="AC129" s="54">
        <f>SUM('AC-SVC'!K129)</f>
        <v>0</v>
      </c>
      <c r="AD129" s="54">
        <f>SUM('AC-SVC'!N129)</f>
        <v>0</v>
      </c>
      <c r="AE129" s="54">
        <f>SUM('AC-SVC'!P129)*AE$7</f>
        <v>0</v>
      </c>
      <c r="AF129" s="54">
        <f>SUM(PT!D129)</f>
        <v>0</v>
      </c>
      <c r="AG129" s="54">
        <f>SUM(CCLC!D129)</f>
        <v>0</v>
      </c>
      <c r="AH129" s="54">
        <f>SUM(FC!E129)</f>
        <v>3000</v>
      </c>
      <c r="AI129" s="54">
        <v>0</v>
      </c>
      <c r="AJ129" s="54">
        <f>SUM(FS!E129)</f>
        <v>0</v>
      </c>
      <c r="AK129" s="54">
        <f>SUM(IT!E129)</f>
        <v>0</v>
      </c>
      <c r="AL129" s="67"/>
      <c r="AM129" s="60">
        <f t="shared" si="168"/>
        <v>3000</v>
      </c>
      <c r="AO129" s="121">
        <v>21958.28</v>
      </c>
      <c r="AP129" s="288">
        <f>SUM(Sheet1!J129)</f>
        <v>15810.091933962263</v>
      </c>
    </row>
    <row r="130" spans="1:42" ht="12">
      <c r="A130" s="31" t="s">
        <v>60</v>
      </c>
      <c r="B130" s="31" t="s">
        <v>61</v>
      </c>
      <c r="C130" s="38">
        <f>250*12</f>
        <v>3000</v>
      </c>
      <c r="D130" s="38">
        <f t="shared" si="166"/>
        <v>0</v>
      </c>
      <c r="E130" s="38">
        <f t="shared" si="167"/>
        <v>0</v>
      </c>
      <c r="F130" s="38"/>
      <c r="G130" s="38"/>
      <c r="H130" s="71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67"/>
      <c r="Z130" s="54">
        <f>SUM('AC-SVC'!C130)*Z$7</f>
        <v>0</v>
      </c>
      <c r="AA130" s="54">
        <f>SUM('AC-SVC'!E130)</f>
        <v>0</v>
      </c>
      <c r="AB130" s="54">
        <f>SUM('AC-SVC'!H130)</f>
        <v>0</v>
      </c>
      <c r="AC130" s="54">
        <f>SUM('AC-SVC'!K130)</f>
        <v>0</v>
      </c>
      <c r="AD130" s="54">
        <f>SUM('AC-SVC'!N130)</f>
        <v>0</v>
      </c>
      <c r="AE130" s="54">
        <f>SUM('AC-SVC'!P130)*AE$7</f>
        <v>0</v>
      </c>
      <c r="AF130" s="54">
        <f>SUM(PT!D130)</f>
        <v>0</v>
      </c>
      <c r="AG130" s="54">
        <f>SUM(CCLC!D130)</f>
        <v>0</v>
      </c>
      <c r="AH130" s="54">
        <f>SUM(FC!E130)</f>
        <v>16000</v>
      </c>
      <c r="AI130" s="54">
        <v>0</v>
      </c>
      <c r="AJ130" s="54">
        <f>SUM(FS!E130)</f>
        <v>2000</v>
      </c>
      <c r="AK130" s="54">
        <f>SUM(IT!E130)</f>
        <v>0</v>
      </c>
      <c r="AL130" s="67"/>
      <c r="AM130" s="60">
        <f t="shared" si="168"/>
        <v>21000</v>
      </c>
      <c r="AO130" s="121">
        <v>11576.96</v>
      </c>
      <c r="AP130" s="288">
        <f>SUM(Sheet1!J130)</f>
        <v>38746.482594339621</v>
      </c>
    </row>
    <row r="131" spans="1:42" ht="12">
      <c r="A131" s="31" t="s">
        <v>411</v>
      </c>
      <c r="B131" s="31" t="s">
        <v>412</v>
      </c>
      <c r="C131" s="38"/>
      <c r="D131" s="38">
        <f t="shared" si="166"/>
        <v>0</v>
      </c>
      <c r="E131" s="38">
        <f t="shared" si="167"/>
        <v>0</v>
      </c>
      <c r="F131" s="38"/>
      <c r="G131" s="38"/>
      <c r="H131" s="71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67"/>
      <c r="Z131" s="54">
        <f>SUM('AC-SVC'!C131)*Z$7</f>
        <v>0</v>
      </c>
      <c r="AA131" s="54">
        <f>SUM('AC-SVC'!E131)</f>
        <v>0</v>
      </c>
      <c r="AB131" s="54">
        <f>SUM('AC-SVC'!H131)</f>
        <v>0</v>
      </c>
      <c r="AC131" s="54">
        <f>SUM('AC-SVC'!K131)</f>
        <v>0</v>
      </c>
      <c r="AD131" s="54">
        <f>SUM('AC-SVC'!N131)</f>
        <v>0</v>
      </c>
      <c r="AE131" s="54">
        <f>SUM('AC-SVC'!P131)*AE$7</f>
        <v>0</v>
      </c>
      <c r="AF131" s="54">
        <f>SUM(PT!D131)</f>
        <v>0</v>
      </c>
      <c r="AG131" s="54">
        <f>SUM(CCLC!D131)</f>
        <v>0</v>
      </c>
      <c r="AH131" s="54">
        <f>SUM(FC!E131)</f>
        <v>131920</v>
      </c>
      <c r="AI131" s="54">
        <v>0</v>
      </c>
      <c r="AJ131" s="54">
        <f>SUM(FS!E131)</f>
        <v>0</v>
      </c>
      <c r="AK131" s="54">
        <f>SUM(IT!E131)</f>
        <v>0</v>
      </c>
      <c r="AL131" s="67"/>
      <c r="AM131" s="60">
        <f t="shared" si="168"/>
        <v>131920</v>
      </c>
      <c r="AO131" s="121">
        <v>82050</v>
      </c>
      <c r="AP131" s="288">
        <f>SUM(Sheet1!J131)</f>
        <v>58384.621132075474</v>
      </c>
    </row>
    <row r="132" spans="1:42" ht="12">
      <c r="A132" s="31" t="s">
        <v>62</v>
      </c>
      <c r="B132" s="31" t="s">
        <v>248</v>
      </c>
      <c r="C132" s="39">
        <v>6000</v>
      </c>
      <c r="D132" s="39">
        <f t="shared" si="166"/>
        <v>0</v>
      </c>
      <c r="E132" s="39">
        <f t="shared" si="167"/>
        <v>0</v>
      </c>
      <c r="F132" s="39"/>
      <c r="G132" s="39"/>
      <c r="H132" s="73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67"/>
      <c r="Z132" s="39">
        <f>SUM('AC-SVC'!C132)*Z$7</f>
        <v>0</v>
      </c>
      <c r="AA132" s="39">
        <f>SUM('AC-SVC'!E132)</f>
        <v>0</v>
      </c>
      <c r="AB132" s="39">
        <f>SUM('AC-SVC'!H132)</f>
        <v>0</v>
      </c>
      <c r="AC132" s="39">
        <f>SUM('AC-SVC'!K132)</f>
        <v>0</v>
      </c>
      <c r="AD132" s="39">
        <f>SUM('AC-SVC'!N132)</f>
        <v>0</v>
      </c>
      <c r="AE132" s="39">
        <f>SUM('AC-SVC'!P132)*AE$7</f>
        <v>0</v>
      </c>
      <c r="AF132" s="39">
        <f>SUM(PT!D132)</f>
        <v>0</v>
      </c>
      <c r="AG132" s="39">
        <f>SUM(CCLC!D132)</f>
        <v>0</v>
      </c>
      <c r="AH132" s="39">
        <f>SUM(FC!E132)</f>
        <v>1500</v>
      </c>
      <c r="AI132" s="39">
        <v>0</v>
      </c>
      <c r="AJ132" s="39">
        <f>SUM(FS!E132)</f>
        <v>0</v>
      </c>
      <c r="AK132" s="39">
        <f>SUM(IT!E132)</f>
        <v>0</v>
      </c>
      <c r="AL132" s="67"/>
      <c r="AM132" s="59">
        <f t="shared" si="168"/>
        <v>7500</v>
      </c>
      <c r="AO132" s="122">
        <v>388.97</v>
      </c>
      <c r="AP132" s="289">
        <f>SUM(Sheet1!J132)</f>
        <v>5143.966273584906</v>
      </c>
    </row>
    <row r="133" spans="1:42" ht="10">
      <c r="B133" s="31" t="s">
        <v>249</v>
      </c>
      <c r="C133" s="38">
        <f>SUM(C125:C132)</f>
        <v>9000</v>
      </c>
      <c r="D133" s="38">
        <f t="shared" ref="D133:G133" si="169">SUM(D125:D132)</f>
        <v>0</v>
      </c>
      <c r="E133" s="38">
        <f t="shared" si="169"/>
        <v>0</v>
      </c>
      <c r="F133" s="38">
        <f t="shared" si="169"/>
        <v>0</v>
      </c>
      <c r="G133" s="38">
        <f t="shared" si="169"/>
        <v>0</v>
      </c>
      <c r="H133" s="71"/>
      <c r="I133" s="38">
        <f t="shared" ref="I133" si="170">SUM(I125:I132)</f>
        <v>0</v>
      </c>
      <c r="J133" s="38">
        <f t="shared" ref="J133:K133" si="171">SUM(J125:J132)</f>
        <v>0</v>
      </c>
      <c r="K133" s="38">
        <f t="shared" si="171"/>
        <v>0</v>
      </c>
      <c r="L133" s="38">
        <f t="shared" ref="L133" si="172">SUM(L125:L132)</f>
        <v>0</v>
      </c>
      <c r="M133" s="38">
        <f t="shared" ref="M133" si="173">SUM(M125:M132)</f>
        <v>0</v>
      </c>
      <c r="N133" s="38">
        <f t="shared" ref="N133" si="174">SUM(N125:N132)</f>
        <v>0</v>
      </c>
      <c r="O133" s="38">
        <f t="shared" ref="O133" si="175">SUM(O125:O132)</f>
        <v>0</v>
      </c>
      <c r="P133" s="38">
        <f t="shared" ref="P133" si="176">SUM(P125:P132)</f>
        <v>0</v>
      </c>
      <c r="Q133" s="38">
        <f t="shared" ref="Q133:R133" si="177">SUM(Q125:Q132)</f>
        <v>0</v>
      </c>
      <c r="R133" s="38">
        <f t="shared" si="177"/>
        <v>0</v>
      </c>
      <c r="S133" s="38">
        <f t="shared" ref="S133" si="178">SUM(S125:S132)</f>
        <v>0</v>
      </c>
      <c r="T133" s="38">
        <f t="shared" ref="T133" si="179">SUM(T125:T132)</f>
        <v>0</v>
      </c>
      <c r="U133" s="38">
        <f t="shared" ref="U133" si="180">SUM(U125:U132)</f>
        <v>0</v>
      </c>
      <c r="V133" s="38">
        <f t="shared" ref="V133" si="181">SUM(V125:V132)</f>
        <v>0</v>
      </c>
      <c r="W133" s="38">
        <f t="shared" ref="W133" si="182">SUM(W125:W132)</f>
        <v>0</v>
      </c>
      <c r="X133" s="38">
        <f t="shared" ref="X133" si="183">SUM(X125:X132)</f>
        <v>0</v>
      </c>
      <c r="Y133" s="67"/>
      <c r="Z133" s="38">
        <f>SUM(Z125:Z132)</f>
        <v>0</v>
      </c>
      <c r="AA133" s="38">
        <f t="shared" ref="AA133:AK133" si="184">SUM(AA125:AA132)</f>
        <v>0</v>
      </c>
      <c r="AB133" s="38">
        <f t="shared" si="184"/>
        <v>0</v>
      </c>
      <c r="AC133" s="38">
        <f t="shared" si="184"/>
        <v>0</v>
      </c>
      <c r="AD133" s="38">
        <f t="shared" si="184"/>
        <v>0</v>
      </c>
      <c r="AE133" s="38">
        <f t="shared" ref="AE133" si="185">SUM(AE125:AE132)</f>
        <v>0</v>
      </c>
      <c r="AF133" s="38">
        <f t="shared" si="184"/>
        <v>0</v>
      </c>
      <c r="AG133" s="38">
        <f t="shared" si="184"/>
        <v>0</v>
      </c>
      <c r="AH133" s="38">
        <f t="shared" si="184"/>
        <v>167520</v>
      </c>
      <c r="AI133" s="38">
        <f t="shared" si="184"/>
        <v>0</v>
      </c>
      <c r="AJ133" s="38">
        <f t="shared" si="184"/>
        <v>2100</v>
      </c>
      <c r="AK133" s="38">
        <f t="shared" si="184"/>
        <v>0</v>
      </c>
      <c r="AL133" s="67"/>
      <c r="AM133" s="50">
        <f>SUM(AM125:AM132)</f>
        <v>178620</v>
      </c>
      <c r="AO133" s="120">
        <f>SUM(AO125:AO132)</f>
        <v>126949.20999999999</v>
      </c>
      <c r="AP133" s="278">
        <f>SUM(AP125:AP132)</f>
        <v>123803.53518867925</v>
      </c>
    </row>
    <row r="134" spans="1:42">
      <c r="C134" s="38"/>
      <c r="D134" s="38"/>
      <c r="E134" s="38"/>
      <c r="F134" s="38"/>
      <c r="G134" s="38"/>
      <c r="H134" s="71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67"/>
      <c r="Z134" s="38"/>
      <c r="AA134" s="47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67"/>
      <c r="AM134" s="50"/>
      <c r="AO134" s="120"/>
    </row>
    <row r="135" spans="1:42">
      <c r="A135" s="31" t="s">
        <v>250</v>
      </c>
      <c r="C135" s="38"/>
      <c r="D135" s="38"/>
      <c r="E135" s="38"/>
      <c r="F135" s="38"/>
      <c r="G135" s="38"/>
      <c r="H135" s="71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67"/>
      <c r="Z135" s="38"/>
      <c r="AA135" s="47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67"/>
      <c r="AM135" s="50"/>
      <c r="AO135" s="120"/>
    </row>
    <row r="136" spans="1:42">
      <c r="A136" s="31" t="s">
        <v>251</v>
      </c>
      <c r="C136" s="38"/>
      <c r="D136" s="38"/>
      <c r="E136" s="38"/>
      <c r="F136" s="38"/>
      <c r="G136" s="38"/>
      <c r="H136" s="71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67"/>
      <c r="Z136" s="38"/>
      <c r="AA136" s="47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67"/>
      <c r="AM136" s="50"/>
      <c r="AO136" s="120"/>
    </row>
    <row r="137" spans="1:42" ht="12">
      <c r="A137" s="31" t="s">
        <v>63</v>
      </c>
      <c r="B137" s="31" t="s">
        <v>252</v>
      </c>
      <c r="C137" s="38"/>
      <c r="D137" s="38">
        <f>SUM(I137:K137)</f>
        <v>0</v>
      </c>
      <c r="E137" s="38">
        <f>SUM(L137:X137)</f>
        <v>0</v>
      </c>
      <c r="F137" s="38"/>
      <c r="G137" s="38"/>
      <c r="H137" s="71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67"/>
      <c r="Z137" s="54">
        <f>SUM('AC-SVC'!C137)*Z$7</f>
        <v>0</v>
      </c>
      <c r="AA137" s="54">
        <f>SUM('AC-SVC'!E137)</f>
        <v>0</v>
      </c>
      <c r="AB137" s="54">
        <f>SUM('AC-SVC'!H137)</f>
        <v>0</v>
      </c>
      <c r="AC137" s="54">
        <f>SUM('AC-SVC'!K137)</f>
        <v>0</v>
      </c>
      <c r="AD137" s="54">
        <f>SUM('AC-SVC'!N137)</f>
        <v>0</v>
      </c>
      <c r="AE137" s="54">
        <f>SUM('AC-SVC'!P137)*AE$7</f>
        <v>0</v>
      </c>
      <c r="AF137" s="54">
        <f>SUM(PT!D137)</f>
        <v>0</v>
      </c>
      <c r="AG137" s="54">
        <f>SUM(CCLC!D137)</f>
        <v>0</v>
      </c>
      <c r="AH137" s="54">
        <f>SUM(FC!E137)</f>
        <v>0</v>
      </c>
      <c r="AI137" s="54">
        <v>0</v>
      </c>
      <c r="AJ137" s="54">
        <f>SUM(FS!E137)</f>
        <v>0</v>
      </c>
      <c r="AK137" s="54">
        <f>SUM(IT!E137)</f>
        <v>0</v>
      </c>
      <c r="AL137" s="67"/>
      <c r="AM137" s="60">
        <f>SUM(C137:G137)+SUM(Z137:AK137)</f>
        <v>0</v>
      </c>
      <c r="AO137" s="121">
        <v>3634.05</v>
      </c>
      <c r="AP137" s="288">
        <f>SUM(Sheet1!J137)</f>
        <v>3726.7248113207547</v>
      </c>
    </row>
    <row r="138" spans="1:42" ht="12">
      <c r="A138" s="31" t="s">
        <v>64</v>
      </c>
      <c r="B138" s="31" t="s">
        <v>253</v>
      </c>
      <c r="C138" s="38"/>
      <c r="D138" s="38">
        <f>SUM(I138:K138)</f>
        <v>0</v>
      </c>
      <c r="E138" s="38">
        <f>SUM(L138:X138)</f>
        <v>0</v>
      </c>
      <c r="F138" s="38"/>
      <c r="G138" s="38"/>
      <c r="H138" s="71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67"/>
      <c r="Z138" s="54">
        <f>SUM('AC-SVC'!C138)*Z$7</f>
        <v>0</v>
      </c>
      <c r="AA138" s="54">
        <f>SUM('AC-SVC'!E138)</f>
        <v>0</v>
      </c>
      <c r="AB138" s="54">
        <f>SUM('AC-SVC'!H138)</f>
        <v>0</v>
      </c>
      <c r="AC138" s="54">
        <f>SUM('AC-SVC'!K138)</f>
        <v>0</v>
      </c>
      <c r="AD138" s="54">
        <f>SUM('AC-SVC'!N138)</f>
        <v>0</v>
      </c>
      <c r="AE138" s="54">
        <f>SUM('AC-SVC'!P138)*AE$7</f>
        <v>0</v>
      </c>
      <c r="AF138" s="54">
        <f>SUM(PT!D138)</f>
        <v>0</v>
      </c>
      <c r="AG138" s="54">
        <f>SUM(CCLC!D138)</f>
        <v>0</v>
      </c>
      <c r="AH138" s="54">
        <f>SUM(FC!E138)</f>
        <v>17733.015234375001</v>
      </c>
      <c r="AI138" s="54">
        <v>0</v>
      </c>
      <c r="AJ138" s="54">
        <f>SUM(FS!E138)</f>
        <v>0</v>
      </c>
      <c r="AK138" s="54">
        <f>SUM(IT!E138)</f>
        <v>0</v>
      </c>
      <c r="AL138" s="67"/>
      <c r="AM138" s="60">
        <f>SUM(C138:G138)+SUM(Z138:AK138)</f>
        <v>17733.015234375001</v>
      </c>
      <c r="AO138" s="121">
        <v>16600.73</v>
      </c>
      <c r="AP138" s="288">
        <f>SUM(Sheet1!J138)</f>
        <v>34124.432877358493</v>
      </c>
    </row>
    <row r="139" spans="1:42" ht="12">
      <c r="A139" s="31" t="s">
        <v>417</v>
      </c>
      <c r="B139" s="31" t="s">
        <v>418</v>
      </c>
      <c r="C139" s="38"/>
      <c r="D139" s="38">
        <f>SUM(I139:K139)</f>
        <v>0</v>
      </c>
      <c r="E139" s="38">
        <f>SUM(L139:X139)</f>
        <v>0</v>
      </c>
      <c r="F139" s="38"/>
      <c r="G139" s="38"/>
      <c r="H139" s="71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67"/>
      <c r="Z139" s="54">
        <f>SUM('AC-SVC'!C139)*Z$7</f>
        <v>0</v>
      </c>
      <c r="AA139" s="54">
        <f>SUM('AC-SVC'!E139)</f>
        <v>0</v>
      </c>
      <c r="AB139" s="54">
        <f>SUM('AC-SVC'!H139)</f>
        <v>0</v>
      </c>
      <c r="AC139" s="54">
        <f>SUM('AC-SVC'!K139)</f>
        <v>0</v>
      </c>
      <c r="AD139" s="54">
        <f>SUM('AC-SVC'!N139)</f>
        <v>0</v>
      </c>
      <c r="AE139" s="54">
        <f>SUM('AC-SVC'!P139)*AE$7</f>
        <v>0</v>
      </c>
      <c r="AF139" s="54">
        <f>SUM(PT!D139)</f>
        <v>0</v>
      </c>
      <c r="AG139" s="54">
        <f>SUM(CCLC!D139)</f>
        <v>0</v>
      </c>
      <c r="AH139" s="54">
        <f>SUM(FC!E139)</f>
        <v>0</v>
      </c>
      <c r="AI139" s="54">
        <v>0</v>
      </c>
      <c r="AJ139" s="54">
        <f>SUM(FS!E139)</f>
        <v>0</v>
      </c>
      <c r="AK139" s="54">
        <f>SUM(IT!E139)</f>
        <v>0</v>
      </c>
      <c r="AL139" s="67"/>
      <c r="AM139" s="60">
        <f>SUM(C139:G139)+SUM(Z139:AK139)</f>
        <v>0</v>
      </c>
      <c r="AO139" s="121"/>
      <c r="AP139" s="288">
        <f>SUM(Sheet1!J139)</f>
        <v>0</v>
      </c>
    </row>
    <row r="140" spans="1:42" ht="12">
      <c r="A140" s="31" t="s">
        <v>65</v>
      </c>
      <c r="B140" s="31" t="s">
        <v>254</v>
      </c>
      <c r="C140" s="39"/>
      <c r="D140" s="39">
        <f>SUM(I140:K140)</f>
        <v>0</v>
      </c>
      <c r="E140" s="39">
        <f>SUM(L140:X140)</f>
        <v>0</v>
      </c>
      <c r="F140" s="39"/>
      <c r="G140" s="39"/>
      <c r="H140" s="73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67"/>
      <c r="Z140" s="39">
        <f>SUM('AC-SVC'!C140)*Z$7</f>
        <v>0</v>
      </c>
      <c r="AA140" s="39">
        <f>SUM('AC-SVC'!E140)</f>
        <v>0</v>
      </c>
      <c r="AB140" s="39">
        <f>SUM('AC-SVC'!H140)</f>
        <v>0</v>
      </c>
      <c r="AC140" s="39">
        <f>SUM('AC-SVC'!K140)</f>
        <v>0</v>
      </c>
      <c r="AD140" s="39">
        <f>SUM('AC-SVC'!N140)</f>
        <v>0</v>
      </c>
      <c r="AE140" s="39">
        <f>SUM('AC-SVC'!P140)*AE$7</f>
        <v>0</v>
      </c>
      <c r="AF140" s="39">
        <f>SUM(PT!D140)</f>
        <v>0</v>
      </c>
      <c r="AG140" s="39">
        <f>SUM(CCLC!D140)</f>
        <v>0</v>
      </c>
      <c r="AH140" s="39">
        <f>SUM(FC!E140)</f>
        <v>0</v>
      </c>
      <c r="AI140" s="39">
        <v>0</v>
      </c>
      <c r="AJ140" s="39">
        <f>SUM(FS!E140)</f>
        <v>0</v>
      </c>
      <c r="AK140" s="39">
        <f>SUM(IT!E140)</f>
        <v>0</v>
      </c>
      <c r="AL140" s="67"/>
      <c r="AM140" s="59">
        <f>SUM(C140:G140)+SUM(Z140:AK140)</f>
        <v>0</v>
      </c>
      <c r="AO140" s="122"/>
      <c r="AP140" s="289">
        <f>SUM(Sheet1!J140)</f>
        <v>0</v>
      </c>
    </row>
    <row r="141" spans="1:42" ht="10">
      <c r="B141" s="31" t="s">
        <v>255</v>
      </c>
      <c r="C141" s="38">
        <f>SUM(C137:C140)</f>
        <v>0</v>
      </c>
      <c r="D141" s="38">
        <f t="shared" ref="D141:G141" si="186">SUM(D137:D140)</f>
        <v>0</v>
      </c>
      <c r="E141" s="38">
        <f t="shared" si="186"/>
        <v>0</v>
      </c>
      <c r="F141" s="38">
        <f t="shared" si="186"/>
        <v>0</v>
      </c>
      <c r="G141" s="38">
        <f t="shared" si="186"/>
        <v>0</v>
      </c>
      <c r="H141" s="71"/>
      <c r="I141" s="38">
        <f t="shared" ref="I141" si="187">SUM(I137:I140)</f>
        <v>0</v>
      </c>
      <c r="J141" s="38">
        <f t="shared" ref="J141:K141" si="188">SUM(J137:J140)</f>
        <v>0</v>
      </c>
      <c r="K141" s="38">
        <f t="shared" si="188"/>
        <v>0</v>
      </c>
      <c r="L141" s="38">
        <f t="shared" ref="L141" si="189">SUM(L137:L140)</f>
        <v>0</v>
      </c>
      <c r="M141" s="38">
        <f t="shared" ref="M141" si="190">SUM(M137:M140)</f>
        <v>0</v>
      </c>
      <c r="N141" s="38">
        <f t="shared" ref="N141" si="191">SUM(N137:N140)</f>
        <v>0</v>
      </c>
      <c r="O141" s="38">
        <f t="shared" ref="O141" si="192">SUM(O137:O140)</f>
        <v>0</v>
      </c>
      <c r="P141" s="38">
        <f t="shared" ref="P141" si="193">SUM(P137:P140)</f>
        <v>0</v>
      </c>
      <c r="Q141" s="38">
        <f t="shared" ref="Q141:R141" si="194">SUM(Q137:Q140)</f>
        <v>0</v>
      </c>
      <c r="R141" s="38">
        <f t="shared" si="194"/>
        <v>0</v>
      </c>
      <c r="S141" s="38">
        <f t="shared" ref="S141" si="195">SUM(S137:S140)</f>
        <v>0</v>
      </c>
      <c r="T141" s="38">
        <f t="shared" ref="T141" si="196">SUM(T137:T140)</f>
        <v>0</v>
      </c>
      <c r="U141" s="38">
        <f t="shared" ref="U141" si="197">SUM(U137:U140)</f>
        <v>0</v>
      </c>
      <c r="V141" s="38">
        <f t="shared" ref="V141" si="198">SUM(V137:V140)</f>
        <v>0</v>
      </c>
      <c r="W141" s="38">
        <f t="shared" ref="W141" si="199">SUM(W137:W140)</f>
        <v>0</v>
      </c>
      <c r="X141" s="38">
        <f t="shared" ref="X141" si="200">SUM(X137:X140)</f>
        <v>0</v>
      </c>
      <c r="Y141" s="67"/>
      <c r="Z141" s="38">
        <f t="shared" ref="Z141:AK141" si="201">+SUM(Z137:Z140)</f>
        <v>0</v>
      </c>
      <c r="AA141" s="47">
        <f t="shared" si="201"/>
        <v>0</v>
      </c>
      <c r="AB141" s="38">
        <f t="shared" si="201"/>
        <v>0</v>
      </c>
      <c r="AC141" s="38">
        <f t="shared" si="201"/>
        <v>0</v>
      </c>
      <c r="AD141" s="38">
        <f t="shared" si="201"/>
        <v>0</v>
      </c>
      <c r="AE141" s="38">
        <f t="shared" ref="AE141" si="202">+SUM(AE137:AE140)</f>
        <v>0</v>
      </c>
      <c r="AF141" s="38">
        <f t="shared" si="201"/>
        <v>0</v>
      </c>
      <c r="AG141" s="38">
        <f t="shared" si="201"/>
        <v>0</v>
      </c>
      <c r="AH141" s="38">
        <f t="shared" si="201"/>
        <v>17733.015234375001</v>
      </c>
      <c r="AI141" s="38">
        <f t="shared" si="201"/>
        <v>0</v>
      </c>
      <c r="AJ141" s="38">
        <f t="shared" si="201"/>
        <v>0</v>
      </c>
      <c r="AK141" s="38">
        <f t="shared" si="201"/>
        <v>0</v>
      </c>
      <c r="AL141" s="67"/>
      <c r="AM141" s="50">
        <f>SUM(AM137:AM140)</f>
        <v>17733.015234375001</v>
      </c>
      <c r="AO141" s="120">
        <f>SUM(AO137:AO140)</f>
        <v>20234.78</v>
      </c>
      <c r="AP141" s="278">
        <f>SUM(AP137:AP140)</f>
        <v>37851.157688679246</v>
      </c>
    </row>
    <row r="142" spans="1:42">
      <c r="C142" s="38"/>
      <c r="D142" s="38"/>
      <c r="E142" s="38"/>
      <c r="F142" s="38"/>
      <c r="G142" s="38"/>
      <c r="H142" s="71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67"/>
      <c r="Z142" s="38"/>
      <c r="AA142" s="47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67"/>
      <c r="AM142" s="50"/>
      <c r="AO142" s="120"/>
    </row>
    <row r="143" spans="1:42">
      <c r="A143" s="31" t="s">
        <v>256</v>
      </c>
      <c r="C143" s="38"/>
      <c r="D143" s="38"/>
      <c r="E143" s="38"/>
      <c r="F143" s="38"/>
      <c r="G143" s="38"/>
      <c r="H143" s="71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67"/>
      <c r="Z143" s="38"/>
      <c r="AA143" s="47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67"/>
      <c r="AM143" s="50"/>
      <c r="AO143" s="120"/>
    </row>
    <row r="144" spans="1:42" ht="12">
      <c r="A144" s="31" t="s">
        <v>66</v>
      </c>
      <c r="B144" s="31" t="s">
        <v>257</v>
      </c>
      <c r="C144" s="38"/>
      <c r="D144" s="38">
        <f t="shared" ref="D144:D149" si="203">SUM(I144:K144)</f>
        <v>0</v>
      </c>
      <c r="E144" s="38">
        <f t="shared" ref="E144:E149" si="204">SUM(L144:X144)</f>
        <v>0</v>
      </c>
      <c r="F144" s="38"/>
      <c r="G144" s="38"/>
      <c r="H144" s="71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67"/>
      <c r="Z144" s="54">
        <f>SUM('AC-SVC'!C144)*Z$7</f>
        <v>0</v>
      </c>
      <c r="AA144" s="54">
        <f>SUM('AC-SVC'!E144)</f>
        <v>0</v>
      </c>
      <c r="AB144" s="54">
        <f>SUM('AC-SVC'!H144)</f>
        <v>0</v>
      </c>
      <c r="AC144" s="54">
        <f>SUM('AC-SVC'!K144)</f>
        <v>0</v>
      </c>
      <c r="AD144" s="54">
        <f>SUM('AC-SVC'!N144)</f>
        <v>672</v>
      </c>
      <c r="AE144" s="54">
        <f>SUM('AC-SVC'!P144)*AE$7</f>
        <v>0</v>
      </c>
      <c r="AF144" s="54">
        <f>SUM(PT!D144)</f>
        <v>0</v>
      </c>
      <c r="AG144" s="54">
        <f>SUM(CCLC!D144)</f>
        <v>0</v>
      </c>
      <c r="AH144" s="54">
        <f>SUM(FC!E144)</f>
        <v>0</v>
      </c>
      <c r="AI144" s="54">
        <v>0</v>
      </c>
      <c r="AJ144" s="54">
        <f>SUM(FS!E144)</f>
        <v>0</v>
      </c>
      <c r="AK144" s="54">
        <f>SUM(IT!E144)</f>
        <v>114</v>
      </c>
      <c r="AL144" s="67"/>
      <c r="AM144" s="60">
        <f t="shared" ref="AM144:AM149" si="205">SUM(C144:G144)+SUM(Z144:AK144)</f>
        <v>786</v>
      </c>
      <c r="AO144" s="121">
        <v>1523.96</v>
      </c>
      <c r="AP144" s="288">
        <f>SUM(Sheet1!J144)</f>
        <v>1236.4244339622642</v>
      </c>
    </row>
    <row r="145" spans="1:42" ht="12">
      <c r="A145" s="31" t="s">
        <v>67</v>
      </c>
      <c r="B145" s="31" t="s">
        <v>258</v>
      </c>
      <c r="C145" s="38"/>
      <c r="D145" s="38">
        <f t="shared" si="203"/>
        <v>0</v>
      </c>
      <c r="E145" s="38">
        <f t="shared" si="204"/>
        <v>0</v>
      </c>
      <c r="F145" s="38"/>
      <c r="G145" s="38"/>
      <c r="H145" s="71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67"/>
      <c r="Z145" s="54">
        <f>SUM('AC-SVC'!C145)*Z$7</f>
        <v>0</v>
      </c>
      <c r="AA145" s="54">
        <f>SUM('AC-SVC'!E145)</f>
        <v>0</v>
      </c>
      <c r="AB145" s="54">
        <f>SUM('AC-SVC'!H145)</f>
        <v>0</v>
      </c>
      <c r="AC145" s="54">
        <f>SUM('AC-SVC'!K145)</f>
        <v>0</v>
      </c>
      <c r="AD145" s="54">
        <f>SUM('AC-SVC'!N145)</f>
        <v>0</v>
      </c>
      <c r="AE145" s="54">
        <f>SUM('AC-SVC'!P145)*AE$7</f>
        <v>0</v>
      </c>
      <c r="AF145" s="54">
        <f>SUM(PT!D145)</f>
        <v>0</v>
      </c>
      <c r="AG145" s="54">
        <f>SUM(CCLC!D145)</f>
        <v>0</v>
      </c>
      <c r="AH145" s="54">
        <f>SUM(FC!E145)</f>
        <v>0</v>
      </c>
      <c r="AI145" s="54">
        <v>0</v>
      </c>
      <c r="AJ145" s="54">
        <f>SUM(FS!E145)</f>
        <v>0</v>
      </c>
      <c r="AK145" s="54">
        <f>SUM(IT!E145)</f>
        <v>0</v>
      </c>
      <c r="AL145" s="67"/>
      <c r="AM145" s="60">
        <f t="shared" si="205"/>
        <v>0</v>
      </c>
      <c r="AO145" s="121"/>
      <c r="AP145" s="288">
        <f>SUM(Sheet1!J145)</f>
        <v>0</v>
      </c>
    </row>
    <row r="146" spans="1:42" ht="12">
      <c r="A146" s="31" t="s">
        <v>68</v>
      </c>
      <c r="B146" s="31" t="s">
        <v>259</v>
      </c>
      <c r="C146" s="38"/>
      <c r="D146" s="38">
        <f t="shared" si="203"/>
        <v>0</v>
      </c>
      <c r="E146" s="38">
        <f t="shared" si="204"/>
        <v>0</v>
      </c>
      <c r="F146" s="38">
        <f>55*12</f>
        <v>660</v>
      </c>
      <c r="G146" s="38">
        <f>55*12</f>
        <v>660</v>
      </c>
      <c r="H146" s="71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67"/>
      <c r="Z146" s="54">
        <f>SUM('AC-SVC'!C146)*Z$7</f>
        <v>0</v>
      </c>
      <c r="AA146" s="54">
        <f>SUM('AC-SVC'!E146)</f>
        <v>1320</v>
      </c>
      <c r="AB146" s="54">
        <f>SUM('AC-SVC'!H146)</f>
        <v>1320</v>
      </c>
      <c r="AC146" s="54">
        <f>SUM('AC-SVC'!K146)</f>
        <v>0</v>
      </c>
      <c r="AD146" s="54">
        <f>SUM('AC-SVC'!N146)</f>
        <v>0</v>
      </c>
      <c r="AE146" s="54">
        <f>SUM('AC-SVC'!P146)*AE$7</f>
        <v>0</v>
      </c>
      <c r="AF146" s="54">
        <f>SUM(PT!D146)</f>
        <v>0</v>
      </c>
      <c r="AG146" s="54">
        <f>SUM(CCLC!D146)</f>
        <v>0</v>
      </c>
      <c r="AH146" s="54">
        <f>SUM(FC!E146)</f>
        <v>660</v>
      </c>
      <c r="AI146" s="54">
        <v>0</v>
      </c>
      <c r="AJ146" s="54">
        <f>SUM(FS!E146)</f>
        <v>660</v>
      </c>
      <c r="AK146" s="54">
        <f>SUM(IT!E146)</f>
        <v>780</v>
      </c>
      <c r="AL146" s="67"/>
      <c r="AM146" s="60">
        <f t="shared" si="205"/>
        <v>6060</v>
      </c>
      <c r="AO146" s="121">
        <v>1559.18</v>
      </c>
      <c r="AP146" s="288">
        <f>SUM(Sheet1!J146)</f>
        <v>1494.6252358490567</v>
      </c>
    </row>
    <row r="147" spans="1:42" ht="12">
      <c r="A147" s="31" t="s">
        <v>69</v>
      </c>
      <c r="B147" s="31" t="s">
        <v>260</v>
      </c>
      <c r="C147" s="38"/>
      <c r="D147" s="38">
        <f t="shared" si="203"/>
        <v>0</v>
      </c>
      <c r="E147" s="38">
        <f t="shared" si="204"/>
        <v>0</v>
      </c>
      <c r="F147" s="38"/>
      <c r="G147" s="38"/>
      <c r="H147" s="71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67"/>
      <c r="Z147" s="54">
        <f>SUM('AC-SVC'!C147)*Z$7</f>
        <v>0</v>
      </c>
      <c r="AA147" s="54">
        <f>SUM('AC-SVC'!E147)</f>
        <v>0</v>
      </c>
      <c r="AB147" s="54">
        <f>SUM('AC-SVC'!H147)</f>
        <v>0</v>
      </c>
      <c r="AC147" s="54">
        <f>SUM('AC-SVC'!K147)</f>
        <v>0</v>
      </c>
      <c r="AD147" s="54">
        <f>SUM('AC-SVC'!N147)</f>
        <v>0</v>
      </c>
      <c r="AE147" s="54">
        <f>SUM('AC-SVC'!P147)*AE$7</f>
        <v>0</v>
      </c>
      <c r="AF147" s="54">
        <f>SUM(PT!D147)</f>
        <v>0</v>
      </c>
      <c r="AG147" s="54">
        <f>SUM(CCLC!D147)</f>
        <v>0</v>
      </c>
      <c r="AH147" s="54">
        <f>SUM(FC!E147)</f>
        <v>0</v>
      </c>
      <c r="AI147" s="54">
        <v>0</v>
      </c>
      <c r="AJ147" s="54">
        <f>SUM(FS!E147)</f>
        <v>0</v>
      </c>
      <c r="AK147" s="54">
        <f>SUM(IT!E147)</f>
        <v>17663</v>
      </c>
      <c r="AL147" s="67"/>
      <c r="AM147" s="60">
        <f t="shared" si="205"/>
        <v>17663</v>
      </c>
      <c r="AO147" s="121"/>
      <c r="AP147" s="288">
        <f>SUM(Sheet1!J147)</f>
        <v>912.7358490566038</v>
      </c>
    </row>
    <row r="148" spans="1:42" ht="12" customHeight="1">
      <c r="A148" s="31" t="s">
        <v>70</v>
      </c>
      <c r="B148" s="31" t="s">
        <v>261</v>
      </c>
      <c r="C148" s="38">
        <v>600</v>
      </c>
      <c r="D148" s="38">
        <f t="shared" si="203"/>
        <v>0</v>
      </c>
      <c r="E148" s="38">
        <f t="shared" si="204"/>
        <v>0</v>
      </c>
      <c r="F148" s="38"/>
      <c r="G148" s="38"/>
      <c r="H148" s="71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67"/>
      <c r="Z148" s="54">
        <f>SUM('AC-SVC'!C148)*Z$7</f>
        <v>0</v>
      </c>
      <c r="AA148" s="54">
        <f>SUM('AC-SVC'!E148)</f>
        <v>0</v>
      </c>
      <c r="AB148" s="54">
        <f>SUM('AC-SVC'!H148)</f>
        <v>0</v>
      </c>
      <c r="AC148" s="54">
        <f>SUM('AC-SVC'!K148)</f>
        <v>0</v>
      </c>
      <c r="AD148" s="54">
        <f>SUM('AC-SVC'!N148)</f>
        <v>0</v>
      </c>
      <c r="AE148" s="54">
        <f>SUM('AC-SVC'!P148)*AE$7</f>
        <v>0</v>
      </c>
      <c r="AF148" s="54">
        <f>SUM(PT!D148)</f>
        <v>0</v>
      </c>
      <c r="AG148" s="54">
        <f>SUM(CCLC!D148)</f>
        <v>0</v>
      </c>
      <c r="AH148" s="54">
        <f>SUM(FC!E148)</f>
        <v>0</v>
      </c>
      <c r="AI148" s="54">
        <v>0</v>
      </c>
      <c r="AJ148" s="54">
        <f>SUM(FS!E148)</f>
        <v>0</v>
      </c>
      <c r="AK148" s="54">
        <f>SUM(IT!E148)</f>
        <v>0</v>
      </c>
      <c r="AL148" s="67"/>
      <c r="AM148" s="60">
        <f t="shared" si="205"/>
        <v>600</v>
      </c>
      <c r="AO148" s="121"/>
      <c r="AP148" s="288">
        <f>SUM(Sheet1!J148)</f>
        <v>1684.760283018868</v>
      </c>
    </row>
    <row r="149" spans="1:42" ht="12">
      <c r="A149" s="31" t="s">
        <v>425</v>
      </c>
      <c r="B149" s="31" t="s">
        <v>427</v>
      </c>
      <c r="C149" s="39"/>
      <c r="D149" s="39">
        <f t="shared" si="203"/>
        <v>0</v>
      </c>
      <c r="E149" s="39">
        <f t="shared" si="204"/>
        <v>0</v>
      </c>
      <c r="F149" s="39"/>
      <c r="G149" s="39"/>
      <c r="H149" s="73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67"/>
      <c r="Z149" s="39">
        <f>SUM('AC-SVC'!C149)*Z$7</f>
        <v>0</v>
      </c>
      <c r="AA149" s="39">
        <f>SUM('AC-SVC'!E149)</f>
        <v>0</v>
      </c>
      <c r="AB149" s="39">
        <f>SUM('AC-SVC'!H149)</f>
        <v>0</v>
      </c>
      <c r="AC149" s="39">
        <f>SUM('AC-SVC'!K149)</f>
        <v>0</v>
      </c>
      <c r="AD149" s="39">
        <f>SUM('AC-SVC'!N149)</f>
        <v>0</v>
      </c>
      <c r="AE149" s="39">
        <f>SUM('AC-SVC'!P149)*AE$7</f>
        <v>0</v>
      </c>
      <c r="AF149" s="39">
        <f>SUM(PT!D149)</f>
        <v>0</v>
      </c>
      <c r="AG149" s="39">
        <f>SUM(CCLC!D149)</f>
        <v>0</v>
      </c>
      <c r="AH149" s="39">
        <f>SUM(FC!E149)</f>
        <v>0</v>
      </c>
      <c r="AI149" s="39">
        <v>0</v>
      </c>
      <c r="AJ149" s="39">
        <f>SUM(FS!E149)</f>
        <v>0</v>
      </c>
      <c r="AK149" s="39">
        <f>SUM(IT!E149)</f>
        <v>0</v>
      </c>
      <c r="AL149" s="67"/>
      <c r="AM149" s="59">
        <f t="shared" si="205"/>
        <v>0</v>
      </c>
      <c r="AO149" s="122">
        <v>1049.42</v>
      </c>
      <c r="AP149" s="289">
        <f>SUM(Sheet1!J149)</f>
        <v>3045.8928301886795</v>
      </c>
    </row>
    <row r="150" spans="1:42" ht="10">
      <c r="B150" s="31" t="s">
        <v>262</v>
      </c>
      <c r="C150" s="38">
        <f>SUM(C144:C149)</f>
        <v>600</v>
      </c>
      <c r="D150" s="38">
        <f t="shared" ref="D150:G150" si="206">SUM(D144:D149)</f>
        <v>0</v>
      </c>
      <c r="E150" s="38">
        <f t="shared" si="206"/>
        <v>0</v>
      </c>
      <c r="F150" s="38">
        <f t="shared" si="206"/>
        <v>660</v>
      </c>
      <c r="G150" s="38">
        <f t="shared" si="206"/>
        <v>660</v>
      </c>
      <c r="H150" s="71"/>
      <c r="I150" s="38">
        <f t="shared" ref="I150:X150" si="207">SUM(I144:I149)</f>
        <v>0</v>
      </c>
      <c r="J150" s="38">
        <f t="shared" si="207"/>
        <v>0</v>
      </c>
      <c r="K150" s="38">
        <f t="shared" ref="K150" si="208">SUM(K144:K149)</f>
        <v>0</v>
      </c>
      <c r="L150" s="38">
        <f t="shared" si="207"/>
        <v>0</v>
      </c>
      <c r="M150" s="38">
        <f t="shared" si="207"/>
        <v>0</v>
      </c>
      <c r="N150" s="38">
        <f t="shared" si="207"/>
        <v>0</v>
      </c>
      <c r="O150" s="38">
        <f t="shared" si="207"/>
        <v>0</v>
      </c>
      <c r="P150" s="38">
        <f t="shared" si="207"/>
        <v>0</v>
      </c>
      <c r="Q150" s="38">
        <f>SUM(Q144:Q149)</f>
        <v>0</v>
      </c>
      <c r="R150" s="38">
        <f>SUM(R144:R149)</f>
        <v>0</v>
      </c>
      <c r="S150" s="38">
        <f t="shared" si="207"/>
        <v>0</v>
      </c>
      <c r="T150" s="38">
        <f t="shared" si="207"/>
        <v>0</v>
      </c>
      <c r="U150" s="38">
        <f t="shared" si="207"/>
        <v>0</v>
      </c>
      <c r="V150" s="38">
        <f t="shared" si="207"/>
        <v>0</v>
      </c>
      <c r="W150" s="38">
        <f t="shared" si="207"/>
        <v>0</v>
      </c>
      <c r="X150" s="38">
        <f t="shared" si="207"/>
        <v>0</v>
      </c>
      <c r="Y150" s="67"/>
      <c r="Z150" s="38">
        <f t="shared" ref="Z150:AF150" si="209">+SUM(Z144:Z149)</f>
        <v>0</v>
      </c>
      <c r="AA150" s="47">
        <f t="shared" si="209"/>
        <v>1320</v>
      </c>
      <c r="AB150" s="38">
        <f t="shared" si="209"/>
        <v>1320</v>
      </c>
      <c r="AC150" s="38">
        <f t="shared" si="209"/>
        <v>0</v>
      </c>
      <c r="AD150" s="38">
        <f t="shared" si="209"/>
        <v>672</v>
      </c>
      <c r="AE150" s="38">
        <f t="shared" ref="AE150" si="210">+SUM(AE144:AE149)</f>
        <v>0</v>
      </c>
      <c r="AF150" s="38">
        <f t="shared" si="209"/>
        <v>0</v>
      </c>
      <c r="AG150" s="47">
        <f>+SUM(AG144:AG149)</f>
        <v>0</v>
      </c>
      <c r="AH150" s="38">
        <f>+SUM(AH144:AH149)</f>
        <v>660</v>
      </c>
      <c r="AI150" s="38">
        <f t="shared" ref="AI150" si="211">+SUM(AI144:AI149)</f>
        <v>0</v>
      </c>
      <c r="AJ150" s="38">
        <f t="shared" ref="AJ150:AK150" si="212">+SUM(AJ144:AJ149)</f>
        <v>660</v>
      </c>
      <c r="AK150" s="38">
        <f t="shared" si="212"/>
        <v>18557</v>
      </c>
      <c r="AL150" s="67"/>
      <c r="AM150" s="50">
        <f>SUM(AM144:AM149)</f>
        <v>25109</v>
      </c>
      <c r="AO150" s="120">
        <f>SUM(AO144:AO149)</f>
        <v>4132.5600000000004</v>
      </c>
      <c r="AP150" s="278">
        <f>SUM(AP144:AP149)</f>
        <v>8374.4386320754729</v>
      </c>
    </row>
    <row r="151" spans="1:42">
      <c r="C151" s="38"/>
      <c r="D151" s="38"/>
      <c r="E151" s="38"/>
      <c r="F151" s="38"/>
      <c r="G151" s="38"/>
      <c r="H151" s="71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67"/>
      <c r="Z151" s="38"/>
      <c r="AA151" s="47"/>
      <c r="AB151" s="38"/>
      <c r="AC151" s="38"/>
      <c r="AD151" s="38"/>
      <c r="AE151" s="38"/>
      <c r="AF151" s="38"/>
      <c r="AG151" s="47"/>
      <c r="AH151" s="38"/>
      <c r="AI151" s="38"/>
      <c r="AJ151" s="38"/>
      <c r="AK151" s="38"/>
      <c r="AL151" s="67"/>
      <c r="AM151" s="50"/>
      <c r="AO151" s="120"/>
    </row>
    <row r="152" spans="1:42">
      <c r="A152" s="31" t="s">
        <v>263</v>
      </c>
      <c r="C152" s="38"/>
      <c r="D152" s="38"/>
      <c r="E152" s="38"/>
      <c r="F152" s="38"/>
      <c r="G152" s="38"/>
      <c r="H152" s="71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67"/>
      <c r="Z152" s="38"/>
      <c r="AA152" s="47"/>
      <c r="AB152" s="38"/>
      <c r="AC152" s="38"/>
      <c r="AD152" s="38"/>
      <c r="AE152" s="38"/>
      <c r="AF152" s="38"/>
      <c r="AG152" s="47"/>
      <c r="AH152" s="38"/>
      <c r="AI152" s="38"/>
      <c r="AJ152" s="38"/>
      <c r="AK152" s="38"/>
      <c r="AL152" s="67"/>
      <c r="AM152" s="50"/>
      <c r="AO152" s="120"/>
    </row>
    <row r="153" spans="1:42">
      <c r="A153" s="31" t="s">
        <v>264</v>
      </c>
      <c r="C153" s="38"/>
      <c r="D153" s="38"/>
      <c r="E153" s="38"/>
      <c r="F153" s="38"/>
      <c r="G153" s="38"/>
      <c r="H153" s="71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67"/>
      <c r="Z153" s="38"/>
      <c r="AA153" s="47"/>
      <c r="AB153" s="38"/>
      <c r="AC153" s="38"/>
      <c r="AD153" s="38"/>
      <c r="AE153" s="38"/>
      <c r="AF153" s="38"/>
      <c r="AG153" s="47"/>
      <c r="AH153" s="38"/>
      <c r="AI153" s="38"/>
      <c r="AJ153" s="38"/>
      <c r="AK153" s="38"/>
      <c r="AL153" s="67"/>
      <c r="AM153" s="50"/>
      <c r="AO153" s="120"/>
    </row>
    <row r="154" spans="1:42" ht="12">
      <c r="A154" s="31" t="s">
        <v>71</v>
      </c>
      <c r="B154" s="31" t="s">
        <v>72</v>
      </c>
      <c r="C154" s="39"/>
      <c r="D154" s="39">
        <f>SUM(I154:K154)</f>
        <v>450</v>
      </c>
      <c r="E154" s="39">
        <f>SUM(L154:X154)</f>
        <v>1800</v>
      </c>
      <c r="F154" s="39">
        <v>1500</v>
      </c>
      <c r="G154" s="39">
        <v>1000</v>
      </c>
      <c r="H154" s="73"/>
      <c r="I154" s="39">
        <v>150</v>
      </c>
      <c r="J154" s="39">
        <v>150</v>
      </c>
      <c r="K154" s="39">
        <v>150</v>
      </c>
      <c r="L154" s="39">
        <v>150</v>
      </c>
      <c r="M154" s="39">
        <v>150</v>
      </c>
      <c r="N154" s="39">
        <v>150</v>
      </c>
      <c r="O154" s="39">
        <v>150</v>
      </c>
      <c r="P154" s="39">
        <v>150</v>
      </c>
      <c r="Q154" s="39">
        <v>150</v>
      </c>
      <c r="R154" s="39">
        <v>150</v>
      </c>
      <c r="S154" s="39">
        <v>150</v>
      </c>
      <c r="T154" s="39">
        <v>150</v>
      </c>
      <c r="U154" s="39">
        <v>0</v>
      </c>
      <c r="V154" s="39">
        <v>150</v>
      </c>
      <c r="W154" s="39">
        <v>150</v>
      </c>
      <c r="X154" s="39">
        <v>150</v>
      </c>
      <c r="Y154" s="67"/>
      <c r="Z154" s="39">
        <f>SUM('AC-SVC'!C154)*Z$7</f>
        <v>0</v>
      </c>
      <c r="AA154" s="39">
        <f>SUM('AC-SVC'!E154)</f>
        <v>300</v>
      </c>
      <c r="AB154" s="39">
        <f>SUM('AC-SVC'!H154)</f>
        <v>100</v>
      </c>
      <c r="AC154" s="39">
        <f>SUM('AC-SVC'!K154)</f>
        <v>0</v>
      </c>
      <c r="AD154" s="39">
        <f>SUM('AC-SVC'!N154)</f>
        <v>750</v>
      </c>
      <c r="AE154" s="39">
        <f>SUM('AC-SVC'!P154)*AE$7</f>
        <v>0</v>
      </c>
      <c r="AF154" s="39">
        <f>SUM(PT!D154)</f>
        <v>0</v>
      </c>
      <c r="AG154" s="39">
        <f>SUM(CCLC!D154)</f>
        <v>0</v>
      </c>
      <c r="AH154" s="39">
        <f>SUM(FC!E154)</f>
        <v>500</v>
      </c>
      <c r="AI154" s="39">
        <v>0</v>
      </c>
      <c r="AJ154" s="39">
        <f>SUM(FS!E154)</f>
        <v>250</v>
      </c>
      <c r="AK154" s="39">
        <f>SUM(IT!E154)</f>
        <v>0</v>
      </c>
      <c r="AL154" s="67"/>
      <c r="AM154" s="59">
        <f>SUM(C154:G154)+SUM(Z154:AK154)</f>
        <v>6650</v>
      </c>
      <c r="AO154" s="122">
        <v>735.11</v>
      </c>
      <c r="AP154" s="289">
        <f>SUM(Sheet1!J154)</f>
        <v>4748.1086792452825</v>
      </c>
    </row>
    <row r="155" spans="1:42" ht="10">
      <c r="B155" s="31" t="s">
        <v>265</v>
      </c>
      <c r="C155" s="38">
        <f>SUM(C154)</f>
        <v>0</v>
      </c>
      <c r="D155" s="38">
        <f t="shared" ref="D155:G155" si="213">SUM(D154)</f>
        <v>450</v>
      </c>
      <c r="E155" s="38">
        <f t="shared" si="213"/>
        <v>1800</v>
      </c>
      <c r="F155" s="38">
        <f t="shared" si="213"/>
        <v>1500</v>
      </c>
      <c r="G155" s="38">
        <f t="shared" si="213"/>
        <v>1000</v>
      </c>
      <c r="H155" s="71"/>
      <c r="I155" s="38">
        <f t="shared" ref="I155:X155" si="214">SUM(I154)</f>
        <v>150</v>
      </c>
      <c r="J155" s="38">
        <f t="shared" si="214"/>
        <v>150</v>
      </c>
      <c r="K155" s="38">
        <f t="shared" ref="K155" si="215">SUM(K154)</f>
        <v>150</v>
      </c>
      <c r="L155" s="38">
        <f t="shared" si="214"/>
        <v>150</v>
      </c>
      <c r="M155" s="38">
        <f t="shared" si="214"/>
        <v>150</v>
      </c>
      <c r="N155" s="38">
        <f t="shared" si="214"/>
        <v>150</v>
      </c>
      <c r="O155" s="38">
        <f t="shared" si="214"/>
        <v>150</v>
      </c>
      <c r="P155" s="38">
        <f t="shared" si="214"/>
        <v>150</v>
      </c>
      <c r="Q155" s="38">
        <f>SUM(Q154)</f>
        <v>150</v>
      </c>
      <c r="R155" s="38">
        <f>SUM(R154)</f>
        <v>150</v>
      </c>
      <c r="S155" s="38">
        <f t="shared" si="214"/>
        <v>150</v>
      </c>
      <c r="T155" s="38">
        <f t="shared" si="214"/>
        <v>150</v>
      </c>
      <c r="U155" s="38">
        <f t="shared" si="214"/>
        <v>0</v>
      </c>
      <c r="V155" s="38">
        <f t="shared" si="214"/>
        <v>150</v>
      </c>
      <c r="W155" s="38">
        <f t="shared" si="214"/>
        <v>150</v>
      </c>
      <c r="X155" s="38">
        <f t="shared" si="214"/>
        <v>150</v>
      </c>
      <c r="Y155" s="67"/>
      <c r="Z155" s="38">
        <f t="shared" ref="Z155:AK155" si="216">SUM(Z154)</f>
        <v>0</v>
      </c>
      <c r="AA155" s="38">
        <f t="shared" si="216"/>
        <v>300</v>
      </c>
      <c r="AB155" s="38">
        <f t="shared" si="216"/>
        <v>100</v>
      </c>
      <c r="AC155" s="38">
        <f t="shared" si="216"/>
        <v>0</v>
      </c>
      <c r="AD155" s="38">
        <f t="shared" si="216"/>
        <v>750</v>
      </c>
      <c r="AE155" s="38">
        <f t="shared" si="216"/>
        <v>0</v>
      </c>
      <c r="AF155" s="38">
        <f t="shared" si="216"/>
        <v>0</v>
      </c>
      <c r="AG155" s="47">
        <f t="shared" si="216"/>
        <v>0</v>
      </c>
      <c r="AH155" s="38">
        <f t="shared" si="216"/>
        <v>500</v>
      </c>
      <c r="AI155" s="38">
        <f t="shared" si="216"/>
        <v>0</v>
      </c>
      <c r="AJ155" s="38">
        <f t="shared" si="216"/>
        <v>250</v>
      </c>
      <c r="AK155" s="38">
        <f t="shared" si="216"/>
        <v>0</v>
      </c>
      <c r="AL155" s="67"/>
      <c r="AM155" s="50">
        <f>SUM(AM154)</f>
        <v>6650</v>
      </c>
      <c r="AO155" s="120">
        <f>SUM(AO154)</f>
        <v>735.11</v>
      </c>
      <c r="AP155" s="278">
        <f>SUM(AP154)</f>
        <v>4748.1086792452825</v>
      </c>
    </row>
    <row r="156" spans="1:42">
      <c r="C156" s="38"/>
      <c r="D156" s="38"/>
      <c r="E156" s="38"/>
      <c r="F156" s="38"/>
      <c r="G156" s="38"/>
      <c r="H156" s="71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67"/>
      <c r="Z156" s="38"/>
      <c r="AA156" s="47"/>
      <c r="AB156" s="38"/>
      <c r="AC156" s="38"/>
      <c r="AD156" s="38"/>
      <c r="AE156" s="38"/>
      <c r="AF156" s="38"/>
      <c r="AG156" s="47"/>
      <c r="AH156" s="38"/>
      <c r="AI156" s="38"/>
      <c r="AJ156" s="38"/>
      <c r="AK156" s="38"/>
      <c r="AL156" s="67"/>
      <c r="AM156" s="50"/>
      <c r="AO156" s="120"/>
    </row>
    <row r="157" spans="1:42">
      <c r="A157" s="31" t="s">
        <v>266</v>
      </c>
      <c r="C157" s="38"/>
      <c r="D157" s="38"/>
      <c r="E157" s="38"/>
      <c r="F157" s="38"/>
      <c r="G157" s="38"/>
      <c r="H157" s="71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67"/>
      <c r="Z157" s="38"/>
      <c r="AA157" s="47"/>
      <c r="AB157" s="38"/>
      <c r="AC157" s="38"/>
      <c r="AD157" s="38"/>
      <c r="AE157" s="38"/>
      <c r="AF157" s="38"/>
      <c r="AG157" s="47"/>
      <c r="AH157" s="38"/>
      <c r="AI157" s="38"/>
      <c r="AJ157" s="38"/>
      <c r="AK157" s="38"/>
      <c r="AL157" s="67"/>
      <c r="AM157" s="50"/>
      <c r="AO157" s="120"/>
    </row>
    <row r="158" spans="1:42" ht="12">
      <c r="A158" s="31" t="s">
        <v>73</v>
      </c>
      <c r="B158" s="31" t="s">
        <v>74</v>
      </c>
      <c r="C158" s="38">
        <f>300*10</f>
        <v>3000</v>
      </c>
      <c r="D158" s="38">
        <f t="shared" ref="D158:D170" si="217">SUM(I158:K158)</f>
        <v>9000</v>
      </c>
      <c r="E158" s="38">
        <f t="shared" ref="E158:E170" si="218">SUM(L158:X158)</f>
        <v>56000</v>
      </c>
      <c r="F158" s="38">
        <f>1000+500+500</f>
        <v>2000</v>
      </c>
      <c r="G158" s="38">
        <v>1500</v>
      </c>
      <c r="H158" s="71"/>
      <c r="I158" s="38">
        <v>3000</v>
      </c>
      <c r="J158" s="38">
        <v>3000</v>
      </c>
      <c r="K158" s="38">
        <v>3000</v>
      </c>
      <c r="L158" s="38">
        <v>3000</v>
      </c>
      <c r="M158" s="38">
        <v>3000</v>
      </c>
      <c r="N158" s="38">
        <v>3000</v>
      </c>
      <c r="O158" s="38">
        <v>8000</v>
      </c>
      <c r="P158" s="38">
        <v>8000</v>
      </c>
      <c r="Q158" s="38">
        <v>8000</v>
      </c>
      <c r="R158" s="38">
        <v>8000</v>
      </c>
      <c r="S158" s="38">
        <v>3000</v>
      </c>
      <c r="T158" s="38">
        <v>3000</v>
      </c>
      <c r="U158" s="38"/>
      <c r="V158" s="38">
        <v>3000</v>
      </c>
      <c r="W158" s="38">
        <v>3000</v>
      </c>
      <c r="X158" s="38">
        <v>3000</v>
      </c>
      <c r="Y158" s="67"/>
      <c r="Z158" s="54">
        <f>SUM('AC-SVC'!C158)*Z$7</f>
        <v>0</v>
      </c>
      <c r="AA158" s="54">
        <f>SUM('AC-SVC'!E158)</f>
        <v>400</v>
      </c>
      <c r="AB158" s="54">
        <f>SUM('AC-SVC'!H158)</f>
        <v>740</v>
      </c>
      <c r="AC158" s="54">
        <f>SUM('AC-SVC'!K158)</f>
        <v>0</v>
      </c>
      <c r="AD158" s="54">
        <f>SUM('AC-SVC'!N158)</f>
        <v>700</v>
      </c>
      <c r="AE158" s="54">
        <f>SUM('AC-SVC'!P158)*AE$7</f>
        <v>0</v>
      </c>
      <c r="AF158" s="54">
        <f>SUM(PT!D158)</f>
        <v>1000</v>
      </c>
      <c r="AG158" s="54">
        <f>SUM(CCLC!D158)</f>
        <v>0</v>
      </c>
      <c r="AH158" s="54">
        <f>SUM(FC!E158)</f>
        <v>17551</v>
      </c>
      <c r="AI158" s="54">
        <v>0</v>
      </c>
      <c r="AJ158" s="54">
        <f>SUM(FS!E158)</f>
        <v>6318.3673469387759</v>
      </c>
      <c r="AK158" s="54">
        <f>SUM(IT!E158)</f>
        <v>600</v>
      </c>
      <c r="AL158" s="67"/>
      <c r="AM158" s="60">
        <f t="shared" ref="AM158:AM170" si="219">SUM(C158:G158)+SUM(Z158:AK158)</f>
        <v>98809.367346938772</v>
      </c>
      <c r="AO158" s="121">
        <v>71301.539999999994</v>
      </c>
      <c r="AP158" s="288">
        <f>SUM(Sheet1!J158)</f>
        <v>103708.03485849056</v>
      </c>
    </row>
    <row r="159" spans="1:42" ht="12">
      <c r="A159" s="31" t="s">
        <v>75</v>
      </c>
      <c r="B159" s="31" t="s">
        <v>154</v>
      </c>
      <c r="C159" s="38">
        <v>5000</v>
      </c>
      <c r="D159" s="38">
        <f t="shared" si="217"/>
        <v>0</v>
      </c>
      <c r="E159" s="38">
        <f t="shared" si="218"/>
        <v>0</v>
      </c>
      <c r="F159" s="38"/>
      <c r="G159" s="38"/>
      <c r="H159" s="71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67"/>
      <c r="Z159" s="54">
        <f>SUM('AC-SVC'!C159)*Z$7</f>
        <v>0</v>
      </c>
      <c r="AA159" s="54">
        <f>SUM('AC-SVC'!E159)</f>
        <v>0</v>
      </c>
      <c r="AB159" s="54">
        <f>SUM('AC-SVC'!H159)</f>
        <v>0</v>
      </c>
      <c r="AC159" s="54">
        <f>SUM('AC-SVC'!K159)</f>
        <v>0</v>
      </c>
      <c r="AD159" s="54">
        <f>SUM('AC-SVC'!N159)</f>
        <v>725</v>
      </c>
      <c r="AE159" s="54">
        <f>SUM('AC-SVC'!P159)*AE$7</f>
        <v>0</v>
      </c>
      <c r="AF159" s="54">
        <f>SUM(PT!D159)</f>
        <v>0</v>
      </c>
      <c r="AG159" s="54">
        <f>SUM(CCLC!D159)</f>
        <v>0</v>
      </c>
      <c r="AH159" s="54">
        <f>SUM(FC!E159)</f>
        <v>500</v>
      </c>
      <c r="AI159" s="54">
        <v>0</v>
      </c>
      <c r="AJ159" s="54">
        <f>SUM(FS!E159)</f>
        <v>0</v>
      </c>
      <c r="AK159" s="54">
        <f>SUM(IT!E159)</f>
        <v>2286</v>
      </c>
      <c r="AL159" s="67"/>
      <c r="AM159" s="60">
        <f t="shared" si="219"/>
        <v>8511</v>
      </c>
      <c r="AO159" s="121">
        <v>4018.53</v>
      </c>
      <c r="AP159" s="288">
        <f>SUM(Sheet1!J159)</f>
        <v>5069.0347169811312</v>
      </c>
    </row>
    <row r="160" spans="1:42" ht="12">
      <c r="A160" s="31" t="s">
        <v>442</v>
      </c>
      <c r="B160" s="31" t="s">
        <v>97</v>
      </c>
      <c r="C160" s="38">
        <v>2500</v>
      </c>
      <c r="D160" s="38">
        <f t="shared" si="217"/>
        <v>0</v>
      </c>
      <c r="E160" s="38">
        <f t="shared" si="218"/>
        <v>0</v>
      </c>
      <c r="F160" s="38"/>
      <c r="G160" s="38"/>
      <c r="H160" s="71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67"/>
      <c r="Z160" s="54">
        <f>SUM('AC-SVC'!C160)*Z$7</f>
        <v>0</v>
      </c>
      <c r="AA160" s="54">
        <f>SUM('AC-SVC'!E160)</f>
        <v>0</v>
      </c>
      <c r="AB160" s="54">
        <f>SUM('AC-SVC'!H160)</f>
        <v>0</v>
      </c>
      <c r="AC160" s="54">
        <f>SUM('AC-SVC'!K160)</f>
        <v>0</v>
      </c>
      <c r="AD160" s="54">
        <f>SUM('AC-SVC'!N160)</f>
        <v>0</v>
      </c>
      <c r="AE160" s="54">
        <f>SUM('AC-SVC'!P160)*AE$7</f>
        <v>0</v>
      </c>
      <c r="AF160" s="54">
        <f>SUM(PT!D160)</f>
        <v>0</v>
      </c>
      <c r="AG160" s="54">
        <f>SUM(CCLC!D160)</f>
        <v>0</v>
      </c>
      <c r="AH160" s="54">
        <f>SUM(FC!E160)</f>
        <v>15000</v>
      </c>
      <c r="AI160" s="54">
        <v>0</v>
      </c>
      <c r="AJ160" s="54">
        <f>SUM(FS!E160)</f>
        <v>500</v>
      </c>
      <c r="AK160" s="54">
        <f>SUM(IT!E160)</f>
        <v>0</v>
      </c>
      <c r="AL160" s="67"/>
      <c r="AM160" s="60">
        <f t="shared" si="219"/>
        <v>18000</v>
      </c>
      <c r="AO160" s="121">
        <v>11060.6</v>
      </c>
      <c r="AP160" s="288">
        <f>SUM(Sheet1!J160)</f>
        <v>5029.6085849056608</v>
      </c>
    </row>
    <row r="161" spans="1:42" ht="12">
      <c r="A161" s="31" t="s">
        <v>443</v>
      </c>
      <c r="B161" s="31" t="s">
        <v>421</v>
      </c>
      <c r="C161" s="38"/>
      <c r="D161" s="38">
        <f t="shared" si="217"/>
        <v>0</v>
      </c>
      <c r="E161" s="38">
        <f t="shared" si="218"/>
        <v>0</v>
      </c>
      <c r="F161" s="38"/>
      <c r="G161" s="38"/>
      <c r="H161" s="71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67"/>
      <c r="Z161" s="54">
        <f>SUM('AC-SVC'!C161)*Z$7</f>
        <v>0</v>
      </c>
      <c r="AA161" s="54">
        <f>SUM('AC-SVC'!E161)</f>
        <v>0</v>
      </c>
      <c r="AB161" s="54">
        <f>SUM('AC-SVC'!H161)</f>
        <v>0</v>
      </c>
      <c r="AC161" s="54">
        <f>SUM('AC-SVC'!K161)</f>
        <v>0</v>
      </c>
      <c r="AD161" s="54">
        <f>SUM('AC-SVC'!N161)</f>
        <v>0</v>
      </c>
      <c r="AE161" s="54">
        <f>SUM('AC-SVC'!P161)*AE$7</f>
        <v>0</v>
      </c>
      <c r="AF161" s="54">
        <f>SUM(PT!D161)</f>
        <v>0</v>
      </c>
      <c r="AG161" s="54">
        <f>SUM(CCLC!D161)</f>
        <v>0</v>
      </c>
      <c r="AH161" s="54">
        <f>SUM(FC!E161)</f>
        <v>0</v>
      </c>
      <c r="AI161" s="54">
        <v>0</v>
      </c>
      <c r="AJ161" s="54">
        <f>SUM(FS!E161)</f>
        <v>0</v>
      </c>
      <c r="AK161" s="54">
        <f>SUM(IT!E161)</f>
        <v>3138</v>
      </c>
      <c r="AL161" s="67"/>
      <c r="AM161" s="60">
        <f t="shared" si="219"/>
        <v>3138</v>
      </c>
      <c r="AO161" s="121">
        <v>2527.5500000000002</v>
      </c>
      <c r="AP161" s="288">
        <f>SUM(Sheet1!J161)</f>
        <v>1597.4723113207547</v>
      </c>
    </row>
    <row r="162" spans="1:42" ht="12">
      <c r="A162" s="31" t="s">
        <v>444</v>
      </c>
      <c r="B162" s="31" t="s">
        <v>423</v>
      </c>
      <c r="C162" s="38"/>
      <c r="D162" s="38">
        <f t="shared" si="217"/>
        <v>0</v>
      </c>
      <c r="E162" s="38">
        <f t="shared" si="218"/>
        <v>0</v>
      </c>
      <c r="F162" s="38"/>
      <c r="G162" s="38"/>
      <c r="H162" s="71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67"/>
      <c r="Z162" s="54">
        <f>SUM('AC-SVC'!C162)*Z$7</f>
        <v>0</v>
      </c>
      <c r="AA162" s="54">
        <f>SUM('AC-SVC'!E162)</f>
        <v>0</v>
      </c>
      <c r="AB162" s="54">
        <f>SUM('AC-SVC'!H162)</f>
        <v>0</v>
      </c>
      <c r="AC162" s="54">
        <f>SUM('AC-SVC'!K162)</f>
        <v>0</v>
      </c>
      <c r="AD162" s="54">
        <f>SUM('AC-SVC'!N162)</f>
        <v>0</v>
      </c>
      <c r="AE162" s="54">
        <f>SUM('AC-SVC'!P162)*AE$7</f>
        <v>0</v>
      </c>
      <c r="AF162" s="54">
        <f>SUM(PT!D162)</f>
        <v>0</v>
      </c>
      <c r="AG162" s="54">
        <f>SUM(CCLC!D162)</f>
        <v>0</v>
      </c>
      <c r="AH162" s="54">
        <f>SUM(FC!E162)</f>
        <v>0</v>
      </c>
      <c r="AI162" s="54">
        <v>0</v>
      </c>
      <c r="AJ162" s="54">
        <f>SUM(FS!E162)</f>
        <v>0</v>
      </c>
      <c r="AK162" s="54">
        <f>SUM(IT!E162)</f>
        <v>53952</v>
      </c>
      <c r="AL162" s="67"/>
      <c r="AM162" s="60">
        <f t="shared" si="219"/>
        <v>53952</v>
      </c>
      <c r="AO162" s="121">
        <v>27834.45</v>
      </c>
      <c r="AP162" s="288">
        <f>SUM(Sheet1!J162)</f>
        <v>39350.289811320748</v>
      </c>
    </row>
    <row r="163" spans="1:42" ht="12">
      <c r="A163" s="31" t="s">
        <v>445</v>
      </c>
      <c r="B163" s="31" t="s">
        <v>416</v>
      </c>
      <c r="C163" s="38"/>
      <c r="D163" s="38">
        <f t="shared" si="217"/>
        <v>0</v>
      </c>
      <c r="E163" s="38">
        <f t="shared" si="218"/>
        <v>0</v>
      </c>
      <c r="F163" s="38"/>
      <c r="G163" s="38"/>
      <c r="H163" s="71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67"/>
      <c r="Z163" s="54">
        <f>SUM('AC-SVC'!C163)*Z$7</f>
        <v>0</v>
      </c>
      <c r="AA163" s="54">
        <f>SUM('AC-SVC'!E163)</f>
        <v>0</v>
      </c>
      <c r="AB163" s="54">
        <f>SUM('AC-SVC'!H163)</f>
        <v>0</v>
      </c>
      <c r="AC163" s="54">
        <f>SUM('AC-SVC'!K163)</f>
        <v>0</v>
      </c>
      <c r="AD163" s="54">
        <f>SUM('AC-SVC'!N163)</f>
        <v>0</v>
      </c>
      <c r="AE163" s="54">
        <f>SUM('AC-SVC'!P163)*AE$7</f>
        <v>0</v>
      </c>
      <c r="AF163" s="54">
        <f>SUM(PT!D163)</f>
        <v>0</v>
      </c>
      <c r="AG163" s="54">
        <f>SUM(CCLC!D163)</f>
        <v>0</v>
      </c>
      <c r="AH163" s="54">
        <f>SUM(FC!E163)</f>
        <v>0</v>
      </c>
      <c r="AI163" s="54">
        <v>0</v>
      </c>
      <c r="AJ163" s="54">
        <f>SUM(FS!E163)</f>
        <v>0</v>
      </c>
      <c r="AK163" s="54">
        <f>SUM(IT!E163)</f>
        <v>0</v>
      </c>
      <c r="AL163" s="67"/>
      <c r="AM163" s="60">
        <f t="shared" si="219"/>
        <v>0</v>
      </c>
      <c r="AO163" s="121">
        <v>0</v>
      </c>
      <c r="AP163" s="288">
        <f>SUM(Sheet1!J163)</f>
        <v>21.126792452830188</v>
      </c>
    </row>
    <row r="164" spans="1:42" ht="12">
      <c r="A164" s="31" t="s">
        <v>76</v>
      </c>
      <c r="B164" s="31" t="s">
        <v>155</v>
      </c>
      <c r="C164" s="38"/>
      <c r="D164" s="38">
        <f t="shared" si="217"/>
        <v>0</v>
      </c>
      <c r="E164" s="38">
        <f t="shared" si="218"/>
        <v>0</v>
      </c>
      <c r="F164" s="38"/>
      <c r="G164" s="38"/>
      <c r="H164" s="71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67"/>
      <c r="Z164" s="54">
        <f>SUM('AC-SVC'!C164)*Z$7</f>
        <v>0</v>
      </c>
      <c r="AA164" s="54">
        <f>SUM('AC-SVC'!E164)</f>
        <v>0</v>
      </c>
      <c r="AB164" s="54">
        <f>SUM('AC-SVC'!H164)</f>
        <v>0</v>
      </c>
      <c r="AC164" s="54">
        <f>SUM('AC-SVC'!K164)</f>
        <v>0</v>
      </c>
      <c r="AD164" s="54">
        <f>SUM('AC-SVC'!N164)</f>
        <v>0</v>
      </c>
      <c r="AE164" s="54">
        <f>SUM('AC-SVC'!P164)*AE$7</f>
        <v>0</v>
      </c>
      <c r="AF164" s="54">
        <f>SUM(PT!D164)</f>
        <v>2500</v>
      </c>
      <c r="AG164" s="54">
        <f>SUM(CCLC!D164)</f>
        <v>0</v>
      </c>
      <c r="AH164" s="54">
        <f>SUM(FC!E164)</f>
        <v>0</v>
      </c>
      <c r="AI164" s="54">
        <v>0</v>
      </c>
      <c r="AJ164" s="54">
        <f>SUM(FS!E164)</f>
        <v>50568</v>
      </c>
      <c r="AK164" s="54">
        <f>SUM(IT!E164)</f>
        <v>0</v>
      </c>
      <c r="AL164" s="67"/>
      <c r="AM164" s="60">
        <f t="shared" si="219"/>
        <v>53068</v>
      </c>
      <c r="AO164" s="121">
        <v>34833.86</v>
      </c>
      <c r="AP164" s="288">
        <f>SUM(Sheet1!J164)</f>
        <v>59105.272735849052</v>
      </c>
    </row>
    <row r="165" spans="1:42" ht="12">
      <c r="A165" s="31" t="s">
        <v>79</v>
      </c>
      <c r="B165" s="31" t="s">
        <v>156</v>
      </c>
      <c r="C165" s="38"/>
      <c r="D165" s="38">
        <f t="shared" si="217"/>
        <v>0</v>
      </c>
      <c r="E165" s="38">
        <f t="shared" si="218"/>
        <v>0</v>
      </c>
      <c r="F165" s="38"/>
      <c r="G165" s="38"/>
      <c r="H165" s="71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67"/>
      <c r="Z165" s="54">
        <f>SUM('AC-SVC'!C165)*Z$7</f>
        <v>0</v>
      </c>
      <c r="AA165" s="54">
        <f>SUM('AC-SVC'!E165)</f>
        <v>0</v>
      </c>
      <c r="AB165" s="54">
        <f>SUM('AC-SVC'!H165)</f>
        <v>0</v>
      </c>
      <c r="AC165" s="54">
        <f>SUM('AC-SVC'!K165)</f>
        <v>0</v>
      </c>
      <c r="AD165" s="54">
        <f>SUM('AC-SVC'!N165)</f>
        <v>0</v>
      </c>
      <c r="AE165" s="54">
        <f>SUM('AC-SVC'!P165)*AE$7</f>
        <v>0</v>
      </c>
      <c r="AF165" s="54">
        <f>SUM(PT!D165)</f>
        <v>0</v>
      </c>
      <c r="AG165" s="54">
        <f>SUM(CCLC!D165)</f>
        <v>0</v>
      </c>
      <c r="AH165" s="54">
        <f>SUM(FC!E165)</f>
        <v>0</v>
      </c>
      <c r="AI165" s="54">
        <v>0</v>
      </c>
      <c r="AJ165" s="54">
        <f>SUM(FS!E165)</f>
        <v>1279.7619047619048</v>
      </c>
      <c r="AK165" s="54">
        <f>SUM(IT!E165)</f>
        <v>0</v>
      </c>
      <c r="AL165" s="67"/>
      <c r="AM165" s="60">
        <f t="shared" si="219"/>
        <v>1279.7619047619048</v>
      </c>
      <c r="AO165" s="121"/>
      <c r="AP165" s="288">
        <f>SUM(Sheet1!J165)</f>
        <v>0</v>
      </c>
    </row>
    <row r="166" spans="1:42" ht="12">
      <c r="A166" s="31" t="s">
        <v>78</v>
      </c>
      <c r="B166" s="31" t="s">
        <v>157</v>
      </c>
      <c r="C166" s="38"/>
      <c r="D166" s="38">
        <f t="shared" si="217"/>
        <v>0</v>
      </c>
      <c r="E166" s="38">
        <f t="shared" si="218"/>
        <v>0</v>
      </c>
      <c r="F166" s="38"/>
      <c r="G166" s="38"/>
      <c r="H166" s="71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67"/>
      <c r="Z166" s="54">
        <f>SUM('AC-SVC'!C166)*Z$7</f>
        <v>0</v>
      </c>
      <c r="AA166" s="54">
        <f>SUM('AC-SVC'!E166)</f>
        <v>0</v>
      </c>
      <c r="AB166" s="54">
        <f>SUM('AC-SVC'!H166)</f>
        <v>0</v>
      </c>
      <c r="AC166" s="54">
        <f>SUM('AC-SVC'!K166)</f>
        <v>0</v>
      </c>
      <c r="AD166" s="54">
        <f>SUM('AC-SVC'!N166)</f>
        <v>0</v>
      </c>
      <c r="AE166" s="54">
        <f>SUM('AC-SVC'!P166)*AE$7</f>
        <v>0</v>
      </c>
      <c r="AF166" s="54">
        <f>SUM(PT!D166)</f>
        <v>0</v>
      </c>
      <c r="AG166" s="54">
        <f>SUM(CCLC!D166)</f>
        <v>0</v>
      </c>
      <c r="AH166" s="54">
        <f>SUM(FC!E166)</f>
        <v>0</v>
      </c>
      <c r="AI166" s="54">
        <v>0</v>
      </c>
      <c r="AJ166" s="54">
        <f>SUM(FS!E166)</f>
        <v>365.64625850340133</v>
      </c>
      <c r="AK166" s="54">
        <f>SUM(IT!E166)</f>
        <v>0</v>
      </c>
      <c r="AL166" s="67"/>
      <c r="AM166" s="60">
        <f t="shared" si="219"/>
        <v>365.64625850340133</v>
      </c>
      <c r="AO166" s="121"/>
      <c r="AP166" s="288">
        <f>SUM(Sheet1!J166)</f>
        <v>0</v>
      </c>
    </row>
    <row r="167" spans="1:42" ht="12">
      <c r="A167" s="31" t="s">
        <v>77</v>
      </c>
      <c r="B167" s="31" t="s">
        <v>158</v>
      </c>
      <c r="C167" s="38">
        <v>35000</v>
      </c>
      <c r="D167" s="38">
        <f t="shared" si="217"/>
        <v>0</v>
      </c>
      <c r="E167" s="38">
        <f t="shared" si="218"/>
        <v>0</v>
      </c>
      <c r="F167" s="38"/>
      <c r="G167" s="38"/>
      <c r="H167" s="71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67"/>
      <c r="Z167" s="54">
        <f>SUM('AC-SVC'!C167)*Z$7</f>
        <v>0</v>
      </c>
      <c r="AA167" s="54">
        <f>SUM('AC-SVC'!E167)</f>
        <v>0</v>
      </c>
      <c r="AB167" s="54">
        <f>SUM('AC-SVC'!H167)</f>
        <v>0</v>
      </c>
      <c r="AC167" s="54">
        <f>SUM('AC-SVC'!K167)</f>
        <v>0</v>
      </c>
      <c r="AD167" s="54">
        <f>SUM('AC-SVC'!N167)</f>
        <v>0</v>
      </c>
      <c r="AE167" s="54">
        <f>SUM('AC-SVC'!P167)*AE$7</f>
        <v>0</v>
      </c>
      <c r="AF167" s="54">
        <f>SUM(PT!D167)</f>
        <v>0</v>
      </c>
      <c r="AG167" s="54">
        <f>SUM(CCLC!D167)</f>
        <v>0</v>
      </c>
      <c r="AH167" s="54">
        <f>SUM(FC!E167)</f>
        <v>0</v>
      </c>
      <c r="AI167" s="54">
        <v>0</v>
      </c>
      <c r="AJ167" s="54">
        <f>SUM(FS!E167)</f>
        <v>0</v>
      </c>
      <c r="AK167" s="54">
        <f>SUM(IT!E167)</f>
        <v>0</v>
      </c>
      <c r="AL167" s="67"/>
      <c r="AM167" s="60">
        <f t="shared" si="219"/>
        <v>35000</v>
      </c>
      <c r="AO167" s="121">
        <v>18000</v>
      </c>
      <c r="AP167" s="288">
        <f>SUM(Sheet1!J167)</f>
        <v>32452.830188679247</v>
      </c>
    </row>
    <row r="168" spans="1:42" ht="12">
      <c r="A168" s="31" t="s">
        <v>80</v>
      </c>
      <c r="B168" s="31" t="s">
        <v>159</v>
      </c>
      <c r="C168" s="38">
        <v>45000</v>
      </c>
      <c r="D168" s="38">
        <f t="shared" si="217"/>
        <v>0</v>
      </c>
      <c r="E168" s="38">
        <f t="shared" si="218"/>
        <v>0</v>
      </c>
      <c r="F168" s="38"/>
      <c r="G168" s="38"/>
      <c r="H168" s="71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67"/>
      <c r="Z168" s="54">
        <f>SUM('AC-SVC'!C168)*Z$7</f>
        <v>0</v>
      </c>
      <c r="AA168" s="54">
        <f>SUM('AC-SVC'!E168)</f>
        <v>0</v>
      </c>
      <c r="AB168" s="54">
        <f>SUM('AC-SVC'!H168)</f>
        <v>0</v>
      </c>
      <c r="AC168" s="54">
        <f>SUM('AC-SVC'!K168)</f>
        <v>0</v>
      </c>
      <c r="AD168" s="54">
        <f>SUM('AC-SVC'!N168)</f>
        <v>0</v>
      </c>
      <c r="AE168" s="54">
        <f>SUM('AC-SVC'!P168)*AE$7</f>
        <v>0</v>
      </c>
      <c r="AF168" s="54">
        <f>SUM(PT!D168)</f>
        <v>0</v>
      </c>
      <c r="AG168" s="54">
        <f>SUM(CCLC!D168)</f>
        <v>0</v>
      </c>
      <c r="AH168" s="54">
        <f>SUM(FC!E168)</f>
        <v>0</v>
      </c>
      <c r="AI168" s="54">
        <v>0</v>
      </c>
      <c r="AJ168" s="54">
        <f>SUM(FS!E168)</f>
        <v>0</v>
      </c>
      <c r="AK168" s="54">
        <f>SUM(IT!E168)</f>
        <v>0</v>
      </c>
      <c r="AL168" s="67"/>
      <c r="AM168" s="60">
        <f t="shared" si="219"/>
        <v>45000</v>
      </c>
      <c r="AO168" s="121">
        <v>10136.879999999999</v>
      </c>
      <c r="AP168" s="288">
        <f>SUM(Sheet1!J168)</f>
        <v>7903.0835849056602</v>
      </c>
    </row>
    <row r="169" spans="1:42" ht="12">
      <c r="A169" s="31" t="s">
        <v>81</v>
      </c>
      <c r="B169" s="31" t="s">
        <v>160</v>
      </c>
      <c r="C169" s="38"/>
      <c r="D169" s="38">
        <f t="shared" si="217"/>
        <v>0</v>
      </c>
      <c r="E169" s="38">
        <f t="shared" si="218"/>
        <v>0</v>
      </c>
      <c r="F169" s="38"/>
      <c r="G169" s="38"/>
      <c r="H169" s="71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67"/>
      <c r="Z169" s="54">
        <f>SUM('AC-SVC'!C169)*Z$7</f>
        <v>0</v>
      </c>
      <c r="AA169" s="54">
        <f>SUM('AC-SVC'!E169)</f>
        <v>0</v>
      </c>
      <c r="AB169" s="54">
        <f>SUM('AC-SVC'!H169)</f>
        <v>0</v>
      </c>
      <c r="AC169" s="54">
        <f>SUM('AC-SVC'!K169)</f>
        <v>0</v>
      </c>
      <c r="AD169" s="54">
        <f>SUM('AC-SVC'!N169)</f>
        <v>2324</v>
      </c>
      <c r="AE169" s="54">
        <f>SUM('AC-SVC'!P169)*AE$7</f>
        <v>0</v>
      </c>
      <c r="AF169" s="54">
        <f>SUM(PT!D169)</f>
        <v>0</v>
      </c>
      <c r="AG169" s="54">
        <f>SUM(CCLC!D169)</f>
        <v>0</v>
      </c>
      <c r="AH169" s="54">
        <f>SUM(FC!E169)</f>
        <v>0</v>
      </c>
      <c r="AI169" s="54">
        <v>0</v>
      </c>
      <c r="AJ169" s="54">
        <f>SUM(FS!E169)</f>
        <v>0</v>
      </c>
      <c r="AK169" s="54">
        <f>SUM(IT!E169)</f>
        <v>0</v>
      </c>
      <c r="AL169" s="67"/>
      <c r="AM169" s="60">
        <f t="shared" si="219"/>
        <v>2324</v>
      </c>
      <c r="AO169" s="121"/>
      <c r="AP169" s="288">
        <f>SUM(Sheet1!J169)</f>
        <v>0</v>
      </c>
    </row>
    <row r="170" spans="1:42" ht="12">
      <c r="A170" s="31" t="s">
        <v>161</v>
      </c>
      <c r="B170" s="31" t="s">
        <v>162</v>
      </c>
      <c r="C170" s="39">
        <v>10000</v>
      </c>
      <c r="D170" s="39">
        <f t="shared" si="217"/>
        <v>0</v>
      </c>
      <c r="E170" s="39">
        <f t="shared" si="218"/>
        <v>0</v>
      </c>
      <c r="F170" s="39"/>
      <c r="G170" s="39"/>
      <c r="H170" s="73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67"/>
      <c r="Z170" s="39">
        <f>SUM('AC-SVC'!C170)*Z$7</f>
        <v>0</v>
      </c>
      <c r="AA170" s="39">
        <f>SUM('AC-SVC'!E170)</f>
        <v>0</v>
      </c>
      <c r="AB170" s="39">
        <f>SUM('AC-SVC'!H170)</f>
        <v>0</v>
      </c>
      <c r="AC170" s="39">
        <f>SUM('AC-SVC'!K170)</f>
        <v>0</v>
      </c>
      <c r="AD170" s="39">
        <f>SUM('AC-SVC'!N170)</f>
        <v>25000</v>
      </c>
      <c r="AE170" s="39">
        <f>SUM('AC-SVC'!P170)*AE$7</f>
        <v>0</v>
      </c>
      <c r="AF170" s="39">
        <f>SUM(PT!D170)</f>
        <v>0</v>
      </c>
      <c r="AG170" s="39">
        <f>SUM(CCLC!D170)</f>
        <v>0</v>
      </c>
      <c r="AH170" s="39">
        <f>SUM(FC!E170)</f>
        <v>0</v>
      </c>
      <c r="AI170" s="39">
        <v>0</v>
      </c>
      <c r="AJ170" s="39">
        <f>SUM(FS!E170)</f>
        <v>0</v>
      </c>
      <c r="AK170" s="39">
        <f>SUM(IT!E170)</f>
        <v>0</v>
      </c>
      <c r="AL170" s="67"/>
      <c r="AM170" s="59">
        <f t="shared" si="219"/>
        <v>35000</v>
      </c>
      <c r="AO170" s="122"/>
      <c r="AP170" s="289">
        <f>SUM(Sheet1!J170)</f>
        <v>579.30127358490563</v>
      </c>
    </row>
    <row r="171" spans="1:42" ht="10">
      <c r="B171" s="31" t="s">
        <v>163</v>
      </c>
      <c r="C171" s="38">
        <f>SUM(C158:C170)</f>
        <v>100500</v>
      </c>
      <c r="D171" s="38">
        <f t="shared" ref="D171:G171" si="220">SUM(D158:D170)</f>
        <v>9000</v>
      </c>
      <c r="E171" s="38">
        <f t="shared" si="220"/>
        <v>56000</v>
      </c>
      <c r="F171" s="38">
        <f t="shared" si="220"/>
        <v>2000</v>
      </c>
      <c r="G171" s="38">
        <f t="shared" si="220"/>
        <v>1500</v>
      </c>
      <c r="H171" s="71"/>
      <c r="I171" s="38">
        <f t="shared" ref="I171" si="221">SUM(I158:I170)</f>
        <v>3000</v>
      </c>
      <c r="J171" s="38">
        <f t="shared" ref="J171:K171" si="222">SUM(J158:J170)</f>
        <v>3000</v>
      </c>
      <c r="K171" s="38">
        <f t="shared" si="222"/>
        <v>3000</v>
      </c>
      <c r="L171" s="38">
        <f t="shared" ref="L171" si="223">SUM(L158:L170)</f>
        <v>3000</v>
      </c>
      <c r="M171" s="38">
        <f t="shared" ref="M171" si="224">SUM(M158:M170)</f>
        <v>3000</v>
      </c>
      <c r="N171" s="38">
        <f t="shared" ref="N171" si="225">SUM(N158:N170)</f>
        <v>3000</v>
      </c>
      <c r="O171" s="38">
        <f t="shared" ref="O171" si="226">SUM(O158:O170)</f>
        <v>8000</v>
      </c>
      <c r="P171" s="38">
        <f t="shared" ref="P171" si="227">SUM(P158:P170)</f>
        <v>8000</v>
      </c>
      <c r="Q171" s="38">
        <f t="shared" ref="Q171:R171" si="228">SUM(Q158:Q170)</f>
        <v>8000</v>
      </c>
      <c r="R171" s="38">
        <f t="shared" si="228"/>
        <v>8000</v>
      </c>
      <c r="S171" s="38">
        <f t="shared" ref="S171" si="229">SUM(S158:S170)</f>
        <v>3000</v>
      </c>
      <c r="T171" s="38">
        <f t="shared" ref="T171" si="230">SUM(T158:T170)</f>
        <v>3000</v>
      </c>
      <c r="U171" s="38">
        <f t="shared" ref="U171" si="231">SUM(U158:U170)</f>
        <v>0</v>
      </c>
      <c r="V171" s="38">
        <f t="shared" ref="V171" si="232">SUM(V158:V170)</f>
        <v>3000</v>
      </c>
      <c r="W171" s="38">
        <f t="shared" ref="W171" si="233">SUM(W158:W170)</f>
        <v>3000</v>
      </c>
      <c r="X171" s="38">
        <f t="shared" ref="X171" si="234">SUM(X158:X170)</f>
        <v>3000</v>
      </c>
      <c r="Y171" s="67"/>
      <c r="Z171" s="38">
        <f t="shared" ref="Z171:AK171" si="235">SUM(Z158:Z170)</f>
        <v>0</v>
      </c>
      <c r="AA171" s="38">
        <f t="shared" si="235"/>
        <v>400</v>
      </c>
      <c r="AB171" s="38">
        <f t="shared" si="235"/>
        <v>740</v>
      </c>
      <c r="AC171" s="38">
        <f t="shared" si="235"/>
        <v>0</v>
      </c>
      <c r="AD171" s="38">
        <f t="shared" si="235"/>
        <v>28749</v>
      </c>
      <c r="AE171" s="38">
        <f t="shared" si="235"/>
        <v>0</v>
      </c>
      <c r="AF171" s="38">
        <f t="shared" si="235"/>
        <v>3500</v>
      </c>
      <c r="AG171" s="38">
        <f t="shared" si="235"/>
        <v>0</v>
      </c>
      <c r="AH171" s="38">
        <f t="shared" si="235"/>
        <v>33051</v>
      </c>
      <c r="AI171" s="38">
        <f t="shared" si="235"/>
        <v>0</v>
      </c>
      <c r="AJ171" s="38">
        <f t="shared" si="235"/>
        <v>59031.775510204083</v>
      </c>
      <c r="AK171" s="38">
        <f t="shared" si="235"/>
        <v>59976</v>
      </c>
      <c r="AL171" s="67"/>
      <c r="AM171" s="50">
        <f>SUM(AM158:AM170)</f>
        <v>354447.77551020402</v>
      </c>
      <c r="AO171" s="120">
        <f>SUM(AO158:AO170)</f>
        <v>179713.41</v>
      </c>
      <c r="AP171" s="278">
        <f>SUM(AP158:AP170)</f>
        <v>254816.05485849056</v>
      </c>
    </row>
    <row r="172" spans="1:42">
      <c r="C172" s="38"/>
      <c r="D172" s="38"/>
      <c r="E172" s="38"/>
      <c r="F172" s="38"/>
      <c r="G172" s="38"/>
      <c r="H172" s="71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67"/>
      <c r="Z172" s="38"/>
      <c r="AA172" s="47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67"/>
      <c r="AM172" s="50"/>
      <c r="AO172" s="120"/>
    </row>
    <row r="173" spans="1:42">
      <c r="A173" s="31" t="s">
        <v>164</v>
      </c>
      <c r="C173" s="38"/>
      <c r="D173" s="38"/>
      <c r="E173" s="38"/>
      <c r="F173" s="38"/>
      <c r="G173" s="38"/>
      <c r="H173" s="71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67"/>
      <c r="Z173" s="38"/>
      <c r="AA173" s="47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67"/>
      <c r="AM173" s="50"/>
      <c r="AO173" s="120"/>
    </row>
    <row r="174" spans="1:42">
      <c r="A174" s="31" t="s">
        <v>165</v>
      </c>
      <c r="C174" s="38"/>
      <c r="D174" s="38"/>
      <c r="E174" s="38"/>
      <c r="F174" s="38"/>
      <c r="G174" s="38"/>
      <c r="H174" s="71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67"/>
      <c r="Z174" s="38"/>
      <c r="AA174" s="47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67"/>
      <c r="AM174" s="50"/>
      <c r="AO174" s="120"/>
    </row>
    <row r="175" spans="1:42" ht="12">
      <c r="A175" s="31" t="s">
        <v>86</v>
      </c>
      <c r="B175" s="31" t="s">
        <v>85</v>
      </c>
      <c r="C175" s="47">
        <f>SUM(C38+C49)*0.15</f>
        <v>296904.75</v>
      </c>
      <c r="D175" s="47">
        <f t="shared" ref="D175:G175" si="236">SUM(D38+D49)*0.15</f>
        <v>0</v>
      </c>
      <c r="E175" s="47">
        <f t="shared" si="236"/>
        <v>0</v>
      </c>
      <c r="F175" s="47">
        <f t="shared" si="236"/>
        <v>0</v>
      </c>
      <c r="G175" s="47">
        <f t="shared" si="236"/>
        <v>0</v>
      </c>
      <c r="H175" s="71"/>
      <c r="I175" s="47">
        <f t="shared" ref="I175:AK175" si="237">SUM(I38+I49)*0.15</f>
        <v>0</v>
      </c>
      <c r="J175" s="47">
        <f t="shared" si="237"/>
        <v>0</v>
      </c>
      <c r="K175" s="47">
        <f t="shared" si="237"/>
        <v>0</v>
      </c>
      <c r="L175" s="47">
        <f t="shared" si="237"/>
        <v>0</v>
      </c>
      <c r="M175" s="47">
        <f t="shared" si="237"/>
        <v>0</v>
      </c>
      <c r="N175" s="47">
        <f t="shared" si="237"/>
        <v>0</v>
      </c>
      <c r="O175" s="47">
        <f t="shared" si="237"/>
        <v>0</v>
      </c>
      <c r="P175" s="47">
        <f t="shared" si="237"/>
        <v>0</v>
      </c>
      <c r="Q175" s="47">
        <f t="shared" si="237"/>
        <v>0</v>
      </c>
      <c r="R175" s="47">
        <f t="shared" si="237"/>
        <v>0</v>
      </c>
      <c r="S175" s="47">
        <f t="shared" si="237"/>
        <v>0</v>
      </c>
      <c r="T175" s="47">
        <f t="shared" si="237"/>
        <v>0</v>
      </c>
      <c r="U175" s="47">
        <f t="shared" si="237"/>
        <v>0</v>
      </c>
      <c r="V175" s="47">
        <f t="shared" si="237"/>
        <v>0</v>
      </c>
      <c r="W175" s="47">
        <f t="shared" si="237"/>
        <v>0</v>
      </c>
      <c r="X175" s="47">
        <f t="shared" si="237"/>
        <v>0</v>
      </c>
      <c r="Y175" s="67"/>
      <c r="Z175" s="47">
        <f t="shared" si="237"/>
        <v>0</v>
      </c>
      <c r="AA175" s="47">
        <f t="shared" si="237"/>
        <v>0</v>
      </c>
      <c r="AB175" s="47">
        <f t="shared" si="237"/>
        <v>0</v>
      </c>
      <c r="AC175" s="47">
        <f t="shared" si="237"/>
        <v>0</v>
      </c>
      <c r="AD175" s="47">
        <f t="shared" si="237"/>
        <v>120</v>
      </c>
      <c r="AE175" s="47">
        <f t="shared" si="237"/>
        <v>0</v>
      </c>
      <c r="AF175" s="47">
        <f t="shared" si="237"/>
        <v>5062.5</v>
      </c>
      <c r="AG175" s="47">
        <f t="shared" si="237"/>
        <v>0</v>
      </c>
      <c r="AH175" s="47">
        <f t="shared" si="237"/>
        <v>0</v>
      </c>
      <c r="AI175" s="47">
        <f t="shared" si="237"/>
        <v>0</v>
      </c>
      <c r="AJ175" s="54">
        <f>SUM(FS!E175)</f>
        <v>0</v>
      </c>
      <c r="AK175" s="47">
        <f t="shared" si="237"/>
        <v>0</v>
      </c>
      <c r="AL175" s="67"/>
      <c r="AM175" s="60">
        <f t="shared" ref="AM175:AM185" si="238">SUM(C175:G175)+SUM(Z175:AK175)</f>
        <v>302087.25</v>
      </c>
      <c r="AO175" s="121">
        <v>200368.33000000002</v>
      </c>
      <c r="AP175" s="288">
        <f>SUM(Sheet1!J175)</f>
        <v>309499.31915094343</v>
      </c>
    </row>
    <row r="176" spans="1:42" ht="12">
      <c r="A176" s="31" t="s">
        <v>91</v>
      </c>
      <c r="B176" s="31" t="s">
        <v>92</v>
      </c>
      <c r="C176" s="38"/>
      <c r="D176" s="38">
        <f t="shared" ref="D176:D185" si="239">SUM(I176:K176)</f>
        <v>0</v>
      </c>
      <c r="E176" s="38">
        <f t="shared" ref="E176:E185" si="240">SUM(L176:X176)</f>
        <v>0</v>
      </c>
      <c r="F176" s="38"/>
      <c r="G176" s="38"/>
      <c r="H176" s="71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67"/>
      <c r="Z176" s="54">
        <f>SUM('AC-SVC'!C176)*Z$7</f>
        <v>0</v>
      </c>
      <c r="AA176" s="54">
        <f>SUM('AC-SVC'!E176)</f>
        <v>0</v>
      </c>
      <c r="AB176" s="54">
        <f>SUM('AC-SVC'!H176)</f>
        <v>0</v>
      </c>
      <c r="AC176" s="54">
        <f>SUM('AC-SVC'!K176)</f>
        <v>0</v>
      </c>
      <c r="AD176" s="54">
        <f>SUM('AC-SVC'!N176)</f>
        <v>0</v>
      </c>
      <c r="AE176" s="54">
        <f>SUM('AC-SVC'!P176)*AE$7</f>
        <v>0</v>
      </c>
      <c r="AF176" s="54">
        <f>SUM(PT!D176)</f>
        <v>0</v>
      </c>
      <c r="AG176" s="54">
        <f>SUM(CCLC!D176)</f>
        <v>0</v>
      </c>
      <c r="AH176" s="54">
        <f>SUM(FC!E176)</f>
        <v>0</v>
      </c>
      <c r="AI176" s="54">
        <v>0</v>
      </c>
      <c r="AJ176" s="54">
        <f>SUM(FS!E176)</f>
        <v>0</v>
      </c>
      <c r="AK176" s="54">
        <f>SUM(IT!E176)</f>
        <v>0</v>
      </c>
      <c r="AL176" s="67"/>
      <c r="AM176" s="60">
        <f t="shared" si="238"/>
        <v>0</v>
      </c>
      <c r="AO176" s="121">
        <v>34879.1</v>
      </c>
      <c r="AP176" s="288">
        <f>SUM(Sheet1!J176)</f>
        <v>10542.391132075471</v>
      </c>
    </row>
    <row r="177" spans="1:42" ht="12">
      <c r="A177" s="31" t="s">
        <v>93</v>
      </c>
      <c r="B177" s="31" t="s">
        <v>94</v>
      </c>
      <c r="C177" s="38"/>
      <c r="D177" s="38">
        <f t="shared" si="239"/>
        <v>0</v>
      </c>
      <c r="E177" s="38">
        <f t="shared" si="240"/>
        <v>0</v>
      </c>
      <c r="F177" s="38"/>
      <c r="G177" s="38"/>
      <c r="H177" s="71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67"/>
      <c r="Z177" s="54">
        <f>SUM('AC-SVC'!C177)*Z$7</f>
        <v>0</v>
      </c>
      <c r="AA177" s="54">
        <f>SUM('AC-SVC'!E177)</f>
        <v>0</v>
      </c>
      <c r="AB177" s="54">
        <f>SUM('AC-SVC'!H177)</f>
        <v>0</v>
      </c>
      <c r="AC177" s="54">
        <f>SUM('AC-SVC'!K177)</f>
        <v>0</v>
      </c>
      <c r="AD177" s="54">
        <f>SUM('AC-SVC'!N177)</f>
        <v>0</v>
      </c>
      <c r="AE177" s="54">
        <f>SUM('AC-SVC'!P177)*AE$7</f>
        <v>0</v>
      </c>
      <c r="AF177" s="54">
        <f>SUM(PT!D177)</f>
        <v>0</v>
      </c>
      <c r="AG177" s="54">
        <f>SUM(CCLC!D177)</f>
        <v>0</v>
      </c>
      <c r="AH177" s="54">
        <f>SUM(FC!E177)</f>
        <v>0</v>
      </c>
      <c r="AI177" s="54">
        <v>0</v>
      </c>
      <c r="AJ177" s="54">
        <f>SUM(FS!E177)</f>
        <v>0</v>
      </c>
      <c r="AK177" s="54">
        <f>SUM(IT!E177)</f>
        <v>0</v>
      </c>
      <c r="AL177" s="67"/>
      <c r="AM177" s="60">
        <f t="shared" si="238"/>
        <v>0</v>
      </c>
      <c r="AO177" s="121"/>
      <c r="AP177" s="288">
        <f>SUM(Sheet1!J177)</f>
        <v>0</v>
      </c>
    </row>
    <row r="178" spans="1:42" ht="12">
      <c r="A178" s="31" t="s">
        <v>95</v>
      </c>
      <c r="B178" s="31" t="s">
        <v>405</v>
      </c>
      <c r="C178" s="38"/>
      <c r="D178" s="38">
        <f t="shared" si="239"/>
        <v>0</v>
      </c>
      <c r="E178" s="38">
        <f t="shared" si="240"/>
        <v>0</v>
      </c>
      <c r="F178" s="38"/>
      <c r="G178" s="38"/>
      <c r="H178" s="71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67"/>
      <c r="Z178" s="54">
        <f>SUM('AC-SVC'!C178)*Z$7</f>
        <v>0</v>
      </c>
      <c r="AA178" s="54">
        <f>SUM('AC-SVC'!E178)</f>
        <v>0</v>
      </c>
      <c r="AB178" s="54">
        <f>SUM('AC-SVC'!H178)</f>
        <v>0</v>
      </c>
      <c r="AC178" s="54">
        <f>SUM('AC-SVC'!K178)</f>
        <v>0</v>
      </c>
      <c r="AD178" s="54">
        <f>SUM('AC-SVC'!N178)</f>
        <v>0</v>
      </c>
      <c r="AE178" s="54">
        <f>SUM('AC-SVC'!P178)*AE$7</f>
        <v>0</v>
      </c>
      <c r="AF178" s="54">
        <f>SUM(PT!D178)</f>
        <v>0</v>
      </c>
      <c r="AG178" s="54">
        <f>SUM(CCLC!D178)</f>
        <v>0</v>
      </c>
      <c r="AH178" s="54">
        <f>SUM(FC!E178)</f>
        <v>0</v>
      </c>
      <c r="AI178" s="54">
        <v>0</v>
      </c>
      <c r="AJ178" s="54">
        <f>SUM(FS!E178)</f>
        <v>0</v>
      </c>
      <c r="AK178" s="54">
        <f>SUM(IT!E178)</f>
        <v>0</v>
      </c>
      <c r="AL178" s="67"/>
      <c r="AM178" s="60">
        <f t="shared" si="238"/>
        <v>0</v>
      </c>
      <c r="AO178" s="121"/>
      <c r="AP178" s="288">
        <f>SUM(Sheet1!J178)</f>
        <v>0</v>
      </c>
    </row>
    <row r="179" spans="1:42" ht="12">
      <c r="A179" s="31" t="s">
        <v>96</v>
      </c>
      <c r="B179" s="31" t="s">
        <v>404</v>
      </c>
      <c r="C179" s="38"/>
      <c r="D179" s="38">
        <f t="shared" si="239"/>
        <v>0</v>
      </c>
      <c r="E179" s="38">
        <f t="shared" si="240"/>
        <v>0</v>
      </c>
      <c r="F179" s="38"/>
      <c r="G179" s="38"/>
      <c r="H179" s="71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67"/>
      <c r="Z179" s="54">
        <f>SUM('AC-SVC'!C179)*Z$7</f>
        <v>0</v>
      </c>
      <c r="AA179" s="54">
        <f>SUM('AC-SVC'!E179)</f>
        <v>0</v>
      </c>
      <c r="AB179" s="54">
        <f>SUM('AC-SVC'!H179)</f>
        <v>0</v>
      </c>
      <c r="AC179" s="54">
        <f>SUM('AC-SVC'!K179)</f>
        <v>0</v>
      </c>
      <c r="AD179" s="54">
        <f>SUM('AC-SVC'!N179)</f>
        <v>0</v>
      </c>
      <c r="AE179" s="54">
        <f>SUM('AC-SVC'!P179)*AE$7</f>
        <v>0</v>
      </c>
      <c r="AF179" s="54">
        <f>SUM(PT!D179)</f>
        <v>0</v>
      </c>
      <c r="AG179" s="54">
        <f>SUM(CCLC!D179)</f>
        <v>0</v>
      </c>
      <c r="AH179" s="54">
        <f>SUM(FC!E179)</f>
        <v>0</v>
      </c>
      <c r="AI179" s="54">
        <v>0</v>
      </c>
      <c r="AJ179" s="54">
        <f>SUM(FS!E179)</f>
        <v>0</v>
      </c>
      <c r="AK179" s="54">
        <f>SUM(IT!E179)</f>
        <v>0</v>
      </c>
      <c r="AL179" s="67"/>
      <c r="AM179" s="60">
        <f t="shared" si="238"/>
        <v>0</v>
      </c>
      <c r="AO179" s="121"/>
      <c r="AP179" s="288">
        <f>SUM(Sheet1!J179)</f>
        <v>0</v>
      </c>
    </row>
    <row r="180" spans="1:42" ht="12">
      <c r="A180" s="31" t="s">
        <v>98</v>
      </c>
      <c r="B180" s="31" t="s">
        <v>99</v>
      </c>
      <c r="C180" s="38"/>
      <c r="D180" s="38">
        <f t="shared" si="239"/>
        <v>0</v>
      </c>
      <c r="E180" s="38">
        <f t="shared" si="240"/>
        <v>0</v>
      </c>
      <c r="F180" s="38"/>
      <c r="G180" s="38"/>
      <c r="H180" s="71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67"/>
      <c r="Z180" s="54">
        <f>SUM('AC-SVC'!C180)*Z$7</f>
        <v>0</v>
      </c>
      <c r="AA180" s="54">
        <f>SUM('AC-SVC'!E180)</f>
        <v>0</v>
      </c>
      <c r="AB180" s="54">
        <f>SUM('AC-SVC'!H180)</f>
        <v>0</v>
      </c>
      <c r="AC180" s="54">
        <f>SUM('AC-SVC'!K180)</f>
        <v>0</v>
      </c>
      <c r="AD180" s="54">
        <f>SUM('AC-SVC'!N180)</f>
        <v>0</v>
      </c>
      <c r="AE180" s="54">
        <f>SUM('AC-SVC'!P180)*AE$7</f>
        <v>0</v>
      </c>
      <c r="AF180" s="54">
        <f>SUM(PT!D180)</f>
        <v>0</v>
      </c>
      <c r="AG180" s="54">
        <f>SUM(CCLC!D180)</f>
        <v>0</v>
      </c>
      <c r="AH180" s="54">
        <f>SUM(FC!E180)</f>
        <v>0</v>
      </c>
      <c r="AI180" s="54">
        <v>0</v>
      </c>
      <c r="AJ180" s="54">
        <f>SUM(FS!E180)</f>
        <v>0</v>
      </c>
      <c r="AK180" s="54">
        <f>SUM(IT!E180)</f>
        <v>0</v>
      </c>
      <c r="AL180" s="67"/>
      <c r="AM180" s="60">
        <f t="shared" si="238"/>
        <v>0</v>
      </c>
      <c r="AO180" s="121"/>
      <c r="AP180" s="288">
        <f>SUM(Sheet1!J180)</f>
        <v>0</v>
      </c>
    </row>
    <row r="181" spans="1:42" ht="12">
      <c r="A181" s="31" t="s">
        <v>100</v>
      </c>
      <c r="B181" s="31" t="s">
        <v>284</v>
      </c>
      <c r="C181" s="38"/>
      <c r="D181" s="38">
        <f t="shared" si="239"/>
        <v>0</v>
      </c>
      <c r="E181" s="38">
        <f t="shared" si="240"/>
        <v>0</v>
      </c>
      <c r="F181" s="38"/>
      <c r="G181" s="38"/>
      <c r="H181" s="71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67"/>
      <c r="Z181" s="54">
        <f>SUM('AC-SVC'!C181)*Z$7</f>
        <v>0</v>
      </c>
      <c r="AA181" s="54">
        <f>SUM('AC-SVC'!E181)</f>
        <v>0</v>
      </c>
      <c r="AB181" s="54">
        <f>SUM('AC-SVC'!H181)</f>
        <v>0</v>
      </c>
      <c r="AC181" s="54">
        <f>SUM('AC-SVC'!K181)</f>
        <v>0</v>
      </c>
      <c r="AD181" s="54">
        <f>SUM('AC-SVC'!N181)</f>
        <v>0</v>
      </c>
      <c r="AE181" s="54">
        <f>SUM('AC-SVC'!P181)*AE$7</f>
        <v>0</v>
      </c>
      <c r="AF181" s="54">
        <f>SUM(PT!D181)</f>
        <v>0</v>
      </c>
      <c r="AG181" s="54">
        <f>SUM(CCLC!D181)</f>
        <v>0</v>
      </c>
      <c r="AH181" s="54">
        <f>SUM(FC!E181)</f>
        <v>0</v>
      </c>
      <c r="AI181" s="54">
        <v>0</v>
      </c>
      <c r="AJ181" s="54">
        <f>SUM(FS!E181)</f>
        <v>0</v>
      </c>
      <c r="AK181" s="54">
        <f>SUM(IT!E181)</f>
        <v>0</v>
      </c>
      <c r="AL181" s="67"/>
      <c r="AM181" s="60">
        <f t="shared" si="238"/>
        <v>0</v>
      </c>
      <c r="AO181" s="121">
        <v>3409.5</v>
      </c>
      <c r="AP181" s="288">
        <f>SUM(Sheet1!J181)</f>
        <v>3965.2287735849059</v>
      </c>
    </row>
    <row r="182" spans="1:42" ht="12">
      <c r="A182" s="31" t="s">
        <v>101</v>
      </c>
      <c r="B182" s="31" t="s">
        <v>102</v>
      </c>
      <c r="C182" s="38"/>
      <c r="D182" s="38">
        <f t="shared" si="239"/>
        <v>0</v>
      </c>
      <c r="E182" s="38">
        <f t="shared" si="240"/>
        <v>0</v>
      </c>
      <c r="F182" s="38"/>
      <c r="G182" s="38"/>
      <c r="H182" s="71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67"/>
      <c r="Z182" s="54">
        <f>SUM('AC-SVC'!C182)*Z$7</f>
        <v>0</v>
      </c>
      <c r="AA182" s="54">
        <f>SUM('AC-SVC'!E182)</f>
        <v>0</v>
      </c>
      <c r="AB182" s="54">
        <f>SUM('AC-SVC'!H182)</f>
        <v>0</v>
      </c>
      <c r="AC182" s="54">
        <f>SUM('AC-SVC'!K182)</f>
        <v>0</v>
      </c>
      <c r="AD182" s="54">
        <f>SUM('AC-SVC'!N182)</f>
        <v>0</v>
      </c>
      <c r="AE182" s="54">
        <f>SUM('AC-SVC'!P182)*AE$7</f>
        <v>0</v>
      </c>
      <c r="AF182" s="54">
        <f>SUM(PT!D182)</f>
        <v>0</v>
      </c>
      <c r="AG182" s="54">
        <f>SUM(CCLC!D182)</f>
        <v>0</v>
      </c>
      <c r="AH182" s="54">
        <f>SUM(FC!E182)</f>
        <v>0</v>
      </c>
      <c r="AI182" s="54">
        <v>0</v>
      </c>
      <c r="AJ182" s="54">
        <f>SUM(FS!E182)</f>
        <v>0</v>
      </c>
      <c r="AK182" s="54">
        <f>SUM(IT!E182)</f>
        <v>0</v>
      </c>
      <c r="AL182" s="67"/>
      <c r="AM182" s="60">
        <f t="shared" si="238"/>
        <v>0</v>
      </c>
      <c r="AO182" s="121"/>
      <c r="AP182" s="288">
        <f>SUM(Sheet1!J182)</f>
        <v>0</v>
      </c>
    </row>
    <row r="183" spans="1:42" ht="12">
      <c r="A183" s="31" t="s">
        <v>105</v>
      </c>
      <c r="B183" s="31" t="s">
        <v>167</v>
      </c>
      <c r="C183" s="38"/>
      <c r="D183" s="38">
        <f t="shared" si="239"/>
        <v>0</v>
      </c>
      <c r="E183" s="38">
        <f t="shared" si="240"/>
        <v>0</v>
      </c>
      <c r="F183" s="38"/>
      <c r="G183" s="38"/>
      <c r="H183" s="71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67"/>
      <c r="Z183" s="54">
        <f>SUM('AC-SVC'!C183)*Z$7</f>
        <v>0</v>
      </c>
      <c r="AA183" s="54">
        <f>SUM('AC-SVC'!E183)</f>
        <v>0</v>
      </c>
      <c r="AB183" s="54">
        <f>SUM('AC-SVC'!H183)</f>
        <v>0</v>
      </c>
      <c r="AC183" s="54">
        <f>SUM('AC-SVC'!K183)</f>
        <v>0</v>
      </c>
      <c r="AD183" s="54">
        <f>SUM('AC-SVC'!N183)</f>
        <v>0</v>
      </c>
      <c r="AE183" s="54">
        <f>SUM('AC-SVC'!P183)*AE$7</f>
        <v>0</v>
      </c>
      <c r="AF183" s="54">
        <f>SUM(PT!D183)</f>
        <v>0</v>
      </c>
      <c r="AG183" s="54">
        <f>SUM(CCLC!D183)</f>
        <v>0</v>
      </c>
      <c r="AH183" s="54">
        <f>SUM(FC!E183)</f>
        <v>0</v>
      </c>
      <c r="AI183" s="54">
        <v>0</v>
      </c>
      <c r="AJ183" s="54">
        <f>SUM(FS!E183)</f>
        <v>0</v>
      </c>
      <c r="AK183" s="54">
        <f>SUM(IT!E183)</f>
        <v>0</v>
      </c>
      <c r="AL183" s="67"/>
      <c r="AM183" s="60">
        <f t="shared" si="238"/>
        <v>0</v>
      </c>
      <c r="AO183" s="121"/>
      <c r="AP183" s="288">
        <f>SUM(Sheet1!J183)</f>
        <v>3.0424528301886795</v>
      </c>
    </row>
    <row r="184" spans="1:42" ht="12">
      <c r="A184" s="31" t="s">
        <v>106</v>
      </c>
      <c r="B184" s="31" t="s">
        <v>107</v>
      </c>
      <c r="C184" s="38"/>
      <c r="D184" s="38">
        <f t="shared" si="239"/>
        <v>0</v>
      </c>
      <c r="E184" s="38">
        <f t="shared" si="240"/>
        <v>0</v>
      </c>
      <c r="F184" s="38"/>
      <c r="G184" s="38"/>
      <c r="H184" s="71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67"/>
      <c r="Z184" s="54">
        <f>SUM('AC-SVC'!C184)*Z$7</f>
        <v>0</v>
      </c>
      <c r="AA184" s="54">
        <f>SUM('AC-SVC'!E184)</f>
        <v>0</v>
      </c>
      <c r="AB184" s="54">
        <f>SUM('AC-SVC'!H184)</f>
        <v>0</v>
      </c>
      <c r="AC184" s="54">
        <f>SUM('AC-SVC'!K184)</f>
        <v>0</v>
      </c>
      <c r="AD184" s="54">
        <f>SUM('AC-SVC'!N184)</f>
        <v>0</v>
      </c>
      <c r="AE184" s="54">
        <f>SUM('AC-SVC'!P184)*AE$7</f>
        <v>0</v>
      </c>
      <c r="AF184" s="54">
        <f>SUM(PT!D184)</f>
        <v>0</v>
      </c>
      <c r="AG184" s="54">
        <f>SUM(CCLC!D184)</f>
        <v>0</v>
      </c>
      <c r="AH184" s="54">
        <f>SUM(FC!E184)</f>
        <v>350</v>
      </c>
      <c r="AI184" s="54">
        <v>0</v>
      </c>
      <c r="AJ184" s="54">
        <f>SUM(FS!E184)</f>
        <v>0</v>
      </c>
      <c r="AK184" s="54">
        <f>SUM(IT!E184)</f>
        <v>0</v>
      </c>
      <c r="AL184" s="67"/>
      <c r="AM184" s="60">
        <f t="shared" si="238"/>
        <v>350</v>
      </c>
      <c r="AO184" s="121">
        <v>451.13</v>
      </c>
      <c r="AP184" s="288">
        <f>SUM(Sheet1!J184)</f>
        <v>1107.5197641509433</v>
      </c>
    </row>
    <row r="185" spans="1:42" ht="12">
      <c r="A185" s="31" t="s">
        <v>428</v>
      </c>
      <c r="B185" s="31" t="s">
        <v>429</v>
      </c>
      <c r="C185" s="39"/>
      <c r="D185" s="39">
        <f t="shared" si="239"/>
        <v>0</v>
      </c>
      <c r="E185" s="39">
        <f t="shared" si="240"/>
        <v>0</v>
      </c>
      <c r="F185" s="39"/>
      <c r="G185" s="39"/>
      <c r="H185" s="73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67"/>
      <c r="Z185" s="39">
        <f>SUM('AC-SVC'!C185)*Z$7</f>
        <v>0</v>
      </c>
      <c r="AA185" s="39">
        <f>SUM('AC-SVC'!E185)</f>
        <v>0</v>
      </c>
      <c r="AB185" s="39">
        <f>SUM('AC-SVC'!H185)</f>
        <v>0</v>
      </c>
      <c r="AC185" s="39">
        <f>SUM('AC-SVC'!K185)</f>
        <v>0</v>
      </c>
      <c r="AD185" s="39">
        <f>SUM('AC-SVC'!N185)</f>
        <v>0</v>
      </c>
      <c r="AE185" s="39">
        <f>SUM('AC-SVC'!P185)*AE$7</f>
        <v>0</v>
      </c>
      <c r="AF185" s="39">
        <f>SUM(PT!D185)</f>
        <v>0</v>
      </c>
      <c r="AG185" s="39">
        <f>SUM(CCLC!D185)</f>
        <v>0</v>
      </c>
      <c r="AH185" s="39">
        <f>SUM(FC!E185)</f>
        <v>250</v>
      </c>
      <c r="AI185" s="39">
        <v>0</v>
      </c>
      <c r="AJ185" s="39">
        <f>SUM(FS!E185)</f>
        <v>0</v>
      </c>
      <c r="AK185" s="39">
        <f>SUM(IT!E185)</f>
        <v>0</v>
      </c>
      <c r="AL185" s="67"/>
      <c r="AM185" s="59">
        <f t="shared" si="238"/>
        <v>250</v>
      </c>
      <c r="AO185" s="122">
        <v>169.29</v>
      </c>
      <c r="AP185" s="289">
        <f>SUM(Sheet1!J185)</f>
        <v>95.186179245283014</v>
      </c>
    </row>
    <row r="186" spans="1:42" ht="10">
      <c r="B186" s="31" t="s">
        <v>168</v>
      </c>
      <c r="C186" s="38">
        <f>SUM(C175:C185)</f>
        <v>296904.75</v>
      </c>
      <c r="D186" s="38">
        <f t="shared" ref="D186:G186" si="241">SUM(D175:D185)</f>
        <v>0</v>
      </c>
      <c r="E186" s="38">
        <f t="shared" si="241"/>
        <v>0</v>
      </c>
      <c r="F186" s="38">
        <f t="shared" si="241"/>
        <v>0</v>
      </c>
      <c r="G186" s="38">
        <f t="shared" si="241"/>
        <v>0</v>
      </c>
      <c r="H186" s="71"/>
      <c r="I186" s="38">
        <f t="shared" ref="I186" si="242">SUM(I175:I185)</f>
        <v>0</v>
      </c>
      <c r="J186" s="38">
        <f t="shared" ref="J186:K186" si="243">SUM(J175:J185)</f>
        <v>0</v>
      </c>
      <c r="K186" s="38">
        <f t="shared" si="243"/>
        <v>0</v>
      </c>
      <c r="L186" s="38">
        <f t="shared" ref="L186" si="244">SUM(L175:L185)</f>
        <v>0</v>
      </c>
      <c r="M186" s="38">
        <f t="shared" ref="M186" si="245">SUM(M175:M185)</f>
        <v>0</v>
      </c>
      <c r="N186" s="38">
        <f t="shared" ref="N186" si="246">SUM(N175:N185)</f>
        <v>0</v>
      </c>
      <c r="O186" s="38">
        <f t="shared" ref="O186" si="247">SUM(O175:O185)</f>
        <v>0</v>
      </c>
      <c r="P186" s="38">
        <f t="shared" ref="P186" si="248">SUM(P175:P185)</f>
        <v>0</v>
      </c>
      <c r="Q186" s="38">
        <f t="shared" ref="Q186:R186" si="249">SUM(Q175:Q185)</f>
        <v>0</v>
      </c>
      <c r="R186" s="38">
        <f t="shared" si="249"/>
        <v>0</v>
      </c>
      <c r="S186" s="38">
        <f t="shared" ref="S186" si="250">SUM(S175:S185)</f>
        <v>0</v>
      </c>
      <c r="T186" s="38">
        <f t="shared" ref="T186" si="251">SUM(T175:T185)</f>
        <v>0</v>
      </c>
      <c r="U186" s="38">
        <f t="shared" ref="U186" si="252">SUM(U175:U185)</f>
        <v>0</v>
      </c>
      <c r="V186" s="38">
        <f t="shared" ref="V186" si="253">SUM(V175:V185)</f>
        <v>0</v>
      </c>
      <c r="W186" s="38">
        <f t="shared" ref="W186" si="254">SUM(W175:W185)</f>
        <v>0</v>
      </c>
      <c r="X186" s="38">
        <f t="shared" ref="X186" si="255">SUM(X175:X185)</f>
        <v>0</v>
      </c>
      <c r="Y186" s="67"/>
      <c r="Z186" s="38">
        <f t="shared" ref="Z186:AK186" si="256">SUM(Z175:Z185)</f>
        <v>0</v>
      </c>
      <c r="AA186" s="38">
        <f t="shared" si="256"/>
        <v>0</v>
      </c>
      <c r="AB186" s="38">
        <f t="shared" si="256"/>
        <v>0</v>
      </c>
      <c r="AC186" s="38">
        <f t="shared" si="256"/>
        <v>0</v>
      </c>
      <c r="AD186" s="38">
        <f t="shared" si="256"/>
        <v>120</v>
      </c>
      <c r="AE186" s="38">
        <f t="shared" si="256"/>
        <v>0</v>
      </c>
      <c r="AF186" s="38">
        <f t="shared" si="256"/>
        <v>5062.5</v>
      </c>
      <c r="AG186" s="38">
        <f t="shared" si="256"/>
        <v>0</v>
      </c>
      <c r="AH186" s="38">
        <f t="shared" si="256"/>
        <v>600</v>
      </c>
      <c r="AI186" s="38">
        <f t="shared" si="256"/>
        <v>0</v>
      </c>
      <c r="AJ186" s="38">
        <f t="shared" si="256"/>
        <v>0</v>
      </c>
      <c r="AK186" s="38">
        <f t="shared" si="256"/>
        <v>0</v>
      </c>
      <c r="AL186" s="67"/>
      <c r="AM186" s="50">
        <f>SUM(AM175:AM185)</f>
        <v>302687.25</v>
      </c>
      <c r="AO186" s="120">
        <f>SUM(AO175:AO185)</f>
        <v>239277.35000000003</v>
      </c>
      <c r="AP186" s="278">
        <f>SUM(AP175:AP185)</f>
        <v>325212.6874528302</v>
      </c>
    </row>
    <row r="187" spans="1:42">
      <c r="C187" s="38"/>
      <c r="D187" s="38"/>
      <c r="E187" s="38"/>
      <c r="F187" s="38"/>
      <c r="G187" s="38"/>
      <c r="H187" s="71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67"/>
      <c r="Z187" s="38"/>
      <c r="AA187" s="47"/>
      <c r="AB187" s="38"/>
      <c r="AC187" s="38"/>
      <c r="AD187" s="38"/>
      <c r="AF187" s="38"/>
      <c r="AG187" s="38"/>
      <c r="AH187" s="38"/>
      <c r="AI187" s="38"/>
      <c r="AJ187" s="38"/>
      <c r="AK187" s="38"/>
      <c r="AL187" s="67"/>
      <c r="AM187" s="50"/>
      <c r="AO187" s="120"/>
    </row>
    <row r="188" spans="1:42" s="4" customFormat="1" ht="12">
      <c r="A188" s="35"/>
      <c r="B188" s="35" t="s">
        <v>169</v>
      </c>
      <c r="C188" s="40">
        <f>SUM(C122+C133+C141+C150+C155+C171+C186)</f>
        <v>407004.75</v>
      </c>
      <c r="D188" s="40">
        <f t="shared" ref="D188:G188" si="257">SUM(D122+D133+D141+D150+D155+D171+D186)</f>
        <v>10800</v>
      </c>
      <c r="E188" s="40">
        <f t="shared" si="257"/>
        <v>78200</v>
      </c>
      <c r="F188" s="40">
        <f t="shared" si="257"/>
        <v>5660</v>
      </c>
      <c r="G188" s="40">
        <f t="shared" si="257"/>
        <v>3560</v>
      </c>
      <c r="H188" s="74"/>
      <c r="I188" s="40">
        <f t="shared" ref="I188:X188" si="258">SUM(I122+I133+I141+I150+I155+I171+I186)</f>
        <v>3600</v>
      </c>
      <c r="J188" s="40">
        <f t="shared" si="258"/>
        <v>3600</v>
      </c>
      <c r="K188" s="40">
        <f t="shared" si="258"/>
        <v>3600</v>
      </c>
      <c r="L188" s="40">
        <f t="shared" si="258"/>
        <v>3600</v>
      </c>
      <c r="M188" s="40">
        <f t="shared" si="258"/>
        <v>3600</v>
      </c>
      <c r="N188" s="40">
        <f t="shared" si="258"/>
        <v>3600</v>
      </c>
      <c r="O188" s="40">
        <f t="shared" si="258"/>
        <v>8600</v>
      </c>
      <c r="P188" s="40">
        <f t="shared" si="258"/>
        <v>8600</v>
      </c>
      <c r="Q188" s="40">
        <f t="shared" si="258"/>
        <v>8600</v>
      </c>
      <c r="R188" s="40">
        <f t="shared" si="258"/>
        <v>8600</v>
      </c>
      <c r="S188" s="40">
        <f t="shared" si="258"/>
        <v>3600</v>
      </c>
      <c r="T188" s="40">
        <f t="shared" si="258"/>
        <v>3600</v>
      </c>
      <c r="U188" s="40">
        <f t="shared" si="258"/>
        <v>15000</v>
      </c>
      <c r="V188" s="40">
        <f t="shared" si="258"/>
        <v>3600</v>
      </c>
      <c r="W188" s="40">
        <f t="shared" si="258"/>
        <v>3600</v>
      </c>
      <c r="X188" s="40">
        <f t="shared" si="258"/>
        <v>3600</v>
      </c>
      <c r="Y188" s="70"/>
      <c r="Z188" s="40">
        <f t="shared" ref="Z188:AD188" si="259">+Z122+Z133+Z141+Z150+Z155+Z171+Z186</f>
        <v>0</v>
      </c>
      <c r="AA188" s="50">
        <f t="shared" si="259"/>
        <v>2020</v>
      </c>
      <c r="AB188" s="40">
        <f t="shared" si="259"/>
        <v>18960</v>
      </c>
      <c r="AC188" s="40">
        <f t="shared" si="259"/>
        <v>0</v>
      </c>
      <c r="AD188" s="40">
        <f t="shared" si="259"/>
        <v>33091</v>
      </c>
      <c r="AE188" s="40">
        <f t="shared" ref="AE188" si="260">+AE122+AE133+AE141+AE150+AE155+AE171+AE186</f>
        <v>0</v>
      </c>
      <c r="AF188" s="40">
        <f>+AF122+AF133+AF141+AF150+AF155+AF171+AF186</f>
        <v>13062.5</v>
      </c>
      <c r="AG188" s="40">
        <f>+AG122+AG133+AG141+AG150+AG155+AG171+AG186</f>
        <v>0</v>
      </c>
      <c r="AH188" s="40">
        <f>+AH122+AH133+AH141+AH150+AH155+AH171+AH186</f>
        <v>226364.01523437499</v>
      </c>
      <c r="AI188" s="40">
        <f t="shared" ref="AI188" si="261">+AI122+AI133+AI141+AI150+AI155+AI171+AI186</f>
        <v>0</v>
      </c>
      <c r="AJ188" s="40">
        <f>+AJ122+AJ133+AJ141+AJ150+AJ155+AJ171+AJ186</f>
        <v>62291.775510204083</v>
      </c>
      <c r="AK188" s="40">
        <f>+AK122+AK133+AK141+AK150+AK155+AK171+AK186</f>
        <v>98633</v>
      </c>
      <c r="AL188" s="70"/>
      <c r="AM188" s="50">
        <f t="shared" ref="AM188" si="262">+AM122+AM133+AM141+AM150+AM155+AM171+AM186</f>
        <v>959647.04074457905</v>
      </c>
      <c r="AO188" s="120">
        <f t="shared" ref="AO188" si="263">SUM(AO122+AO133+AO141+AO150+AO155+AO171+AO186)</f>
        <v>604584.67999999993</v>
      </c>
      <c r="AP188" s="280">
        <f>SUM(AP122+AP133+AP141+AP150+AP155+AP171+AP186)</f>
        <v>905092.8566509434</v>
      </c>
    </row>
    <row r="189" spans="1:42" ht="12">
      <c r="C189" s="38"/>
      <c r="D189" s="38"/>
      <c r="E189" s="38"/>
      <c r="F189" s="38"/>
      <c r="G189" s="38"/>
      <c r="H189" s="71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67"/>
      <c r="Z189" s="38"/>
      <c r="AA189" s="47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67"/>
      <c r="AM189" s="50"/>
      <c r="AO189" s="120"/>
      <c r="AP189" s="281"/>
    </row>
    <row r="190" spans="1:42" ht="12">
      <c r="B190" s="35" t="s">
        <v>435</v>
      </c>
      <c r="C190" s="47">
        <f>SUM(C104+C188)</f>
        <v>407004.75</v>
      </c>
      <c r="D190" s="47">
        <f t="shared" ref="D190:X190" si="264">SUM(D104+D188)</f>
        <v>255757.19358703779</v>
      </c>
      <c r="E190" s="47">
        <f t="shared" si="264"/>
        <v>783738.74713012495</v>
      </c>
      <c r="F190" s="47">
        <f t="shared" si="264"/>
        <v>136691.3694008209</v>
      </c>
      <c r="G190" s="47">
        <f t="shared" si="264"/>
        <v>15054</v>
      </c>
      <c r="H190" s="71"/>
      <c r="I190" s="47">
        <f t="shared" si="264"/>
        <v>82634.174715600006</v>
      </c>
      <c r="J190" s="47">
        <f t="shared" si="264"/>
        <v>87023.373271437798</v>
      </c>
      <c r="K190" s="47">
        <f t="shared" si="264"/>
        <v>86099.645600000003</v>
      </c>
      <c r="L190" s="47">
        <f t="shared" si="264"/>
        <v>86566.272115600004</v>
      </c>
      <c r="M190" s="47">
        <f t="shared" si="264"/>
        <v>83146.385860499999</v>
      </c>
      <c r="N190" s="47">
        <f t="shared" si="264"/>
        <v>87319.159</v>
      </c>
      <c r="O190" s="47">
        <f t="shared" si="264"/>
        <v>100881.0396</v>
      </c>
      <c r="P190" s="47">
        <f t="shared" si="264"/>
        <v>96882.277000000002</v>
      </c>
      <c r="Q190" s="47">
        <f t="shared" si="264"/>
        <v>96882.277000000002</v>
      </c>
      <c r="R190" s="47">
        <f t="shared" si="264"/>
        <v>8880</v>
      </c>
      <c r="S190" s="47">
        <f t="shared" si="264"/>
        <v>55313.18497701249</v>
      </c>
      <c r="T190" s="47">
        <f t="shared" si="264"/>
        <v>55313.18497701249</v>
      </c>
      <c r="U190" s="47">
        <f t="shared" si="264"/>
        <v>15000</v>
      </c>
      <c r="V190" s="47">
        <f t="shared" si="264"/>
        <v>46355.31</v>
      </c>
      <c r="W190" s="47">
        <f t="shared" si="264"/>
        <v>3880</v>
      </c>
      <c r="X190" s="47">
        <f t="shared" si="264"/>
        <v>47319.656600000002</v>
      </c>
      <c r="Y190" s="67"/>
      <c r="Z190" s="47">
        <f>SUM(Z104+Z188)</f>
        <v>0</v>
      </c>
      <c r="AA190" s="47">
        <f t="shared" ref="AA190:AK190" si="265">SUM(AA104+AA188)</f>
        <v>35012.918675983041</v>
      </c>
      <c r="AB190" s="47">
        <f t="shared" si="265"/>
        <v>30257.830854160002</v>
      </c>
      <c r="AC190" s="47">
        <f t="shared" si="265"/>
        <v>0</v>
      </c>
      <c r="AD190" s="47">
        <f t="shared" si="265"/>
        <v>57495.475652000001</v>
      </c>
      <c r="AE190" s="47">
        <f t="shared" ref="AE190" si="266">SUM(AE104+AE188)</f>
        <v>0</v>
      </c>
      <c r="AF190" s="47">
        <f t="shared" si="265"/>
        <v>34665.311576</v>
      </c>
      <c r="AG190" s="47">
        <f t="shared" si="265"/>
        <v>0</v>
      </c>
      <c r="AH190" s="47">
        <f t="shared" si="265"/>
        <v>292625.39123437501</v>
      </c>
      <c r="AI190" s="47">
        <f t="shared" si="265"/>
        <v>0</v>
      </c>
      <c r="AJ190" s="47">
        <f t="shared" si="265"/>
        <v>110666.27940543808</v>
      </c>
      <c r="AK190" s="47">
        <f t="shared" si="265"/>
        <v>98633</v>
      </c>
      <c r="AL190" s="67"/>
      <c r="AM190" s="50">
        <f>SUM(AM104+AM188)</f>
        <v>2257602.2675159397</v>
      </c>
      <c r="AO190" s="120">
        <f t="shared" ref="AO190" si="267">SUM(AO104+AO188)</f>
        <v>1487790.63</v>
      </c>
      <c r="AP190" s="280">
        <f>SUM(AP188+AP104)</f>
        <v>2216693</v>
      </c>
    </row>
    <row r="191" spans="1:42" s="4" customFormat="1" ht="12">
      <c r="A191" s="31"/>
      <c r="B191" s="31"/>
      <c r="C191" s="38"/>
      <c r="D191" s="38"/>
      <c r="E191" s="38"/>
      <c r="F191" s="38"/>
      <c r="G191" s="38"/>
      <c r="H191" s="71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70"/>
      <c r="Z191" s="38"/>
      <c r="AA191" s="47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70"/>
      <c r="AM191" s="50"/>
      <c r="AO191" s="120"/>
      <c r="AP191" s="281"/>
    </row>
    <row r="192" spans="1:42" ht="12">
      <c r="A192" s="35"/>
      <c r="B192" s="35" t="s">
        <v>170</v>
      </c>
      <c r="C192" s="40">
        <f>+C68-C104-C188</f>
        <v>1633635.25</v>
      </c>
      <c r="D192" s="40">
        <f t="shared" ref="D192:G192" si="268">+D68-D104-D188</f>
        <v>-255757.19358703779</v>
      </c>
      <c r="E192" s="40">
        <f t="shared" si="268"/>
        <v>-783738.74713012495</v>
      </c>
      <c r="F192" s="40">
        <f t="shared" si="268"/>
        <v>-136691.3694008209</v>
      </c>
      <c r="G192" s="40">
        <f t="shared" si="268"/>
        <v>-15054</v>
      </c>
      <c r="H192" s="74"/>
      <c r="I192" s="40">
        <f t="shared" ref="I192:X192" si="269">+I68-I104-I188</f>
        <v>-82634.174715600006</v>
      </c>
      <c r="J192" s="40">
        <f t="shared" si="269"/>
        <v>-87023.373271437798</v>
      </c>
      <c r="K192" s="40">
        <f t="shared" si="269"/>
        <v>-86099.645600000003</v>
      </c>
      <c r="L192" s="40">
        <f t="shared" si="269"/>
        <v>-86566.272115600004</v>
      </c>
      <c r="M192" s="40">
        <f t="shared" si="269"/>
        <v>-83146.385860499999</v>
      </c>
      <c r="N192" s="40">
        <f t="shared" si="269"/>
        <v>-87319.159</v>
      </c>
      <c r="O192" s="40">
        <f t="shared" si="269"/>
        <v>-100881.0396</v>
      </c>
      <c r="P192" s="40">
        <f t="shared" si="269"/>
        <v>-96882.277000000002</v>
      </c>
      <c r="Q192" s="40">
        <f t="shared" si="269"/>
        <v>-96882.277000000002</v>
      </c>
      <c r="R192" s="40">
        <f t="shared" si="269"/>
        <v>-8880</v>
      </c>
      <c r="S192" s="40">
        <f t="shared" si="269"/>
        <v>-55313.18497701249</v>
      </c>
      <c r="T192" s="40">
        <f t="shared" si="269"/>
        <v>-55313.18497701249</v>
      </c>
      <c r="U192" s="40">
        <f t="shared" si="269"/>
        <v>-15000</v>
      </c>
      <c r="V192" s="40">
        <f t="shared" si="269"/>
        <v>-46355.31</v>
      </c>
      <c r="W192" s="40">
        <f t="shared" si="269"/>
        <v>-3880</v>
      </c>
      <c r="X192" s="40">
        <f t="shared" si="269"/>
        <v>-47319.656600000002</v>
      </c>
      <c r="Y192" s="67"/>
      <c r="Z192" s="40">
        <f t="shared" ref="Z192:AD192" si="270">+Z68-Z104-Z188</f>
        <v>0</v>
      </c>
      <c r="AA192" s="50">
        <f t="shared" si="270"/>
        <v>80529.683310304506</v>
      </c>
      <c r="AB192" s="40">
        <f t="shared" si="270"/>
        <v>-30257.830854160002</v>
      </c>
      <c r="AC192" s="40">
        <f t="shared" si="270"/>
        <v>0</v>
      </c>
      <c r="AD192" s="40">
        <f t="shared" si="270"/>
        <v>-56695.475652000001</v>
      </c>
      <c r="AE192" s="40">
        <f t="shared" ref="AE192" si="271">+AE68-AE104-AE188</f>
        <v>0</v>
      </c>
      <c r="AF192" s="40">
        <f>+AF68-AF104-AF188</f>
        <v>-915.31157600000006</v>
      </c>
      <c r="AG192" s="40">
        <f>+AG68-AG104-AG188</f>
        <v>0</v>
      </c>
      <c r="AH192" s="40">
        <f>+AH68-AH104-AH188</f>
        <v>-292625.39123437501</v>
      </c>
      <c r="AI192" s="40">
        <f t="shared" ref="AI192" si="272">+AI68-AI104-AI188</f>
        <v>0</v>
      </c>
      <c r="AJ192" s="40">
        <f>+AJ68-AJ104-AJ188</f>
        <v>-6434.2794054380865</v>
      </c>
      <c r="AK192" s="40">
        <f>+AK68-AK104-AK188</f>
        <v>-84617</v>
      </c>
      <c r="AL192" s="67"/>
      <c r="AM192" s="50">
        <f>SUM(AM68-AM190)</f>
        <v>51378.334470347967</v>
      </c>
      <c r="AO192" s="120">
        <f t="shared" ref="AO192" si="273">SUM(AO68-AO190)</f>
        <v>242762.32000000007</v>
      </c>
      <c r="AP192" s="280">
        <f>SUM(AP68-AP190)</f>
        <v>124445.55561320763</v>
      </c>
    </row>
    <row r="193" spans="1:36">
      <c r="D193" s="1">
        <f>+SUM(I192:K192)-D192</f>
        <v>0</v>
      </c>
      <c r="E193" s="38">
        <f>SUM(L192:X192)-E192</f>
        <v>0</v>
      </c>
      <c r="Z193" s="52"/>
      <c r="AA193" s="53"/>
      <c r="AB193" s="52"/>
      <c r="AC193" s="52"/>
      <c r="AD193" s="52"/>
      <c r="AG193" s="38"/>
      <c r="AH193" s="38"/>
      <c r="AJ193" s="38"/>
    </row>
    <row r="194" spans="1:36">
      <c r="A194" s="78"/>
      <c r="Z194" s="52"/>
      <c r="AA194" s="53"/>
      <c r="AB194" s="52"/>
      <c r="AC194" s="52"/>
      <c r="AD194" s="52"/>
    </row>
    <row r="195" spans="1:36">
      <c r="A195" s="78"/>
      <c r="Z195" s="52"/>
      <c r="AA195" s="53"/>
      <c r="AB195" s="52"/>
      <c r="AC195" s="52"/>
      <c r="AD195" s="52"/>
    </row>
    <row r="196" spans="1:36">
      <c r="B196" s="26"/>
      <c r="Z196" s="52"/>
      <c r="AA196" s="53"/>
      <c r="AB196" s="52"/>
      <c r="AC196" s="52"/>
      <c r="AD196" s="52"/>
    </row>
  </sheetData>
  <phoneticPr fontId="5" type="noConversion"/>
  <pageMargins left="0.25" right="0.4" top="1.2" bottom="0.36" header="0.17" footer="0.16"/>
  <pageSetup scale="32" fitToHeight="3" orientation="landscape"/>
  <headerFooter alignWithMargins="0">
    <oddHeader>&amp;C&amp;"MS Sans Serif,Bold"&amp;18INTERNATIONAL SCHOOL OF LOUISIANA
&amp;A STREET CAMPUS&amp;"MS Sans Serif,Regular"&amp;10
&amp;"MS Sans Serif,Bold"&amp;13BUDGET '13-2014&amp;"MS Sans Serif,Regular"&amp;10
&amp;"MS Sans Serif,Bold Italic"&amp;8version 1</oddHeader>
    <oddFooter>&amp;L&amp;6&amp;Z&amp;F&amp;R&amp;P of &amp;N</oddFooter>
  </headerFooter>
  <ignoredErrors>
    <ignoredError sqref="D7:E7 D110:E110 D154:E154" formulaRange="1"/>
    <ignoredError sqref="E10 G10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outlinePr summaryRight="0"/>
    <pageSetUpPr fitToPage="1"/>
  </sheetPr>
  <dimension ref="A1:BF196"/>
  <sheetViews>
    <sheetView workbookViewId="0">
      <pane xSplit="2" ySplit="10" topLeftCell="AJ183" activePane="bottomRight" state="frozen"/>
      <selection activeCell="A116" sqref="A116:XFD116"/>
      <selection pane="topRight" activeCell="A116" sqref="A116:XFD116"/>
      <selection pane="bottomLeft" activeCell="A116" sqref="A116:XFD116"/>
      <selection pane="bottomRight" activeCell="BB192" sqref="BB192"/>
    </sheetView>
  </sheetViews>
  <sheetFormatPr baseColWidth="10" defaultColWidth="11.42578125" defaultRowHeight="13" x14ac:dyDescent="0"/>
  <cols>
    <col min="1" max="1" width="15" style="31" customWidth="1"/>
    <col min="2" max="2" width="26.85546875" style="31" customWidth="1"/>
    <col min="3" max="3" width="11.42578125" style="26"/>
    <col min="4" max="4" width="9" style="26" bestFit="1" customWidth="1"/>
    <col min="5" max="5" width="9.85546875" style="26" customWidth="1"/>
    <col min="6" max="7" width="8.5703125" style="26" customWidth="1"/>
    <col min="8" max="8" width="8.7109375" style="26" customWidth="1"/>
    <col min="9" max="9" width="3.140625" style="26" customWidth="1" collapsed="1"/>
    <col min="10" max="13" width="11.42578125" style="26" customWidth="1"/>
    <col min="14" max="14" width="2.85546875" style="26" customWidth="1"/>
    <col min="15" max="40" width="11.42578125" style="26" customWidth="1"/>
    <col min="41" max="41" width="2.7109375" style="26" customWidth="1"/>
    <col min="42" max="42" width="8.28515625" style="1" bestFit="1" customWidth="1"/>
    <col min="43" max="43" width="8.5703125" style="26" bestFit="1" customWidth="1"/>
    <col min="44" max="46" width="9.140625" style="1" bestFit="1" customWidth="1"/>
    <col min="47" max="47" width="7.7109375" style="1" bestFit="1" customWidth="1"/>
    <col min="48" max="48" width="9" style="1" bestFit="1" customWidth="1"/>
    <col min="49" max="49" width="9.28515625" style="1" bestFit="1" customWidth="1"/>
    <col min="50" max="50" width="9.85546875" style="1" bestFit="1" customWidth="1"/>
    <col min="51" max="51" width="8.5703125" style="1" bestFit="1" customWidth="1"/>
    <col min="52" max="52" width="10.140625" style="1" bestFit="1" customWidth="1"/>
    <col min="53" max="53" width="3.7109375" style="1" customWidth="1"/>
    <col min="54" max="54" width="11.42578125" style="49"/>
    <col min="55" max="55" width="3.5703125" style="26" customWidth="1"/>
    <col min="56" max="56" width="11.42578125" style="30"/>
    <col min="57" max="57" width="11" bestFit="1" customWidth="1"/>
    <col min="58" max="58" width="2.140625" style="26" customWidth="1"/>
    <col min="59" max="16384" width="11.42578125" style="26"/>
  </cols>
  <sheetData>
    <row r="1" spans="1:57">
      <c r="I1" s="67"/>
      <c r="AO1" s="67"/>
      <c r="BA1" s="67"/>
      <c r="BE1" s="290"/>
    </row>
    <row r="2" spans="1:57">
      <c r="A2" s="30" t="s">
        <v>614</v>
      </c>
      <c r="B2" s="47">
        <f>SUM(SUM!I2)</f>
        <v>9636</v>
      </c>
      <c r="I2" s="67"/>
      <c r="AO2" s="67"/>
      <c r="AQ2" s="26" t="s">
        <v>267</v>
      </c>
      <c r="BA2" s="67"/>
      <c r="BE2" s="290"/>
    </row>
    <row r="3" spans="1:57">
      <c r="B3" s="174"/>
      <c r="I3" s="67"/>
      <c r="AO3" s="67"/>
      <c r="BA3" s="67"/>
      <c r="BE3" s="290"/>
    </row>
    <row r="4" spans="1:57" ht="15">
      <c r="A4" s="253" t="s">
        <v>640</v>
      </c>
      <c r="B4" s="32">
        <f>SUM(SUM!B7)</f>
        <v>400</v>
      </c>
      <c r="I4" s="67"/>
      <c r="AO4" s="67"/>
      <c r="BA4" s="67"/>
      <c r="BE4" s="290"/>
    </row>
    <row r="5" spans="1:57">
      <c r="B5" s="32"/>
      <c r="I5" s="67"/>
      <c r="AO5" s="67"/>
      <c r="BA5" s="67"/>
      <c r="BE5" s="290"/>
    </row>
    <row r="6" spans="1:57">
      <c r="B6" s="32"/>
      <c r="I6" s="67"/>
      <c r="AO6" s="67"/>
      <c r="AX6" s="56"/>
      <c r="AZ6" s="56"/>
      <c r="BA6" s="79"/>
      <c r="BE6" s="290"/>
    </row>
    <row r="7" spans="1:57" s="27" customFormat="1" ht="12">
      <c r="A7" s="28"/>
      <c r="B7" s="32"/>
      <c r="C7" s="90" t="s">
        <v>450</v>
      </c>
      <c r="D7" s="90">
        <f>SUM(J7:M7)</f>
        <v>8</v>
      </c>
      <c r="E7" s="90">
        <f>+SUM(O7:AI7)</f>
        <v>26.999999999999996</v>
      </c>
      <c r="F7" s="90">
        <f>SUM(AJ7:AN7)</f>
        <v>5.5</v>
      </c>
      <c r="G7" s="90">
        <v>3</v>
      </c>
      <c r="H7" s="90">
        <v>2</v>
      </c>
      <c r="I7" s="72"/>
      <c r="J7" s="46">
        <v>2</v>
      </c>
      <c r="K7" s="46">
        <v>2</v>
      </c>
      <c r="L7" s="46">
        <v>2</v>
      </c>
      <c r="M7" s="46">
        <v>2</v>
      </c>
      <c r="N7" s="46"/>
      <c r="O7" s="46">
        <v>2</v>
      </c>
      <c r="P7" s="46">
        <v>2</v>
      </c>
      <c r="Q7" s="46">
        <v>2</v>
      </c>
      <c r="R7" s="46">
        <v>2</v>
      </c>
      <c r="S7" s="46">
        <v>2</v>
      </c>
      <c r="T7" s="46">
        <v>2</v>
      </c>
      <c r="U7" s="46">
        <v>2</v>
      </c>
      <c r="V7" s="46">
        <v>2</v>
      </c>
      <c r="W7" s="46">
        <v>1</v>
      </c>
      <c r="X7" s="46">
        <v>1</v>
      </c>
      <c r="Y7" s="46">
        <v>0</v>
      </c>
      <c r="Z7" s="46">
        <v>0.34</v>
      </c>
      <c r="AA7" s="46">
        <v>1</v>
      </c>
      <c r="AB7" s="46">
        <v>0.33</v>
      </c>
      <c r="AC7" s="46">
        <v>1</v>
      </c>
      <c r="AD7" s="46">
        <v>0.33</v>
      </c>
      <c r="AE7" s="46">
        <v>1</v>
      </c>
      <c r="AF7" s="46">
        <v>2</v>
      </c>
      <c r="AG7" s="46">
        <v>1</v>
      </c>
      <c r="AH7" s="46">
        <v>1</v>
      </c>
      <c r="AI7" s="46">
        <v>1</v>
      </c>
      <c r="AJ7" s="46">
        <v>1</v>
      </c>
      <c r="AK7" s="46">
        <v>1</v>
      </c>
      <c r="AL7" s="46">
        <v>1</v>
      </c>
      <c r="AM7" s="46">
        <v>1</v>
      </c>
      <c r="AN7" s="46">
        <v>1.5</v>
      </c>
      <c r="AO7" s="68"/>
      <c r="AP7" s="90">
        <v>0</v>
      </c>
      <c r="AQ7" s="90">
        <f>SUM('AC-SVC'!F7)</f>
        <v>1</v>
      </c>
      <c r="AR7" s="158">
        <f>SUM('AC-SVC'!I7)</f>
        <v>0.35</v>
      </c>
      <c r="AS7" s="158">
        <f>SUM('AC-SVC'!L7)</f>
        <v>1</v>
      </c>
      <c r="AT7" s="158">
        <f>SUM('AC-SVC'!O7)</f>
        <v>0.1</v>
      </c>
      <c r="AU7" s="158">
        <v>0</v>
      </c>
      <c r="AV7" s="90">
        <f>SUM(PT!E7)</f>
        <v>2</v>
      </c>
      <c r="AW7" s="90">
        <f>SUM(FC!F7)</f>
        <v>5</v>
      </c>
      <c r="AX7" s="90">
        <v>0</v>
      </c>
      <c r="AY7" s="90">
        <f>SUM(FS!F7)</f>
        <v>4</v>
      </c>
      <c r="AZ7" s="129">
        <f>SUM(IT!F7)</f>
        <v>0</v>
      </c>
      <c r="BA7" s="130"/>
      <c r="BB7" s="57">
        <f>SUM(C7:H7)+SUM(AP7:AZ7)</f>
        <v>58.95</v>
      </c>
      <c r="BD7" s="116" t="s">
        <v>647</v>
      </c>
      <c r="BE7" s="287">
        <v>400</v>
      </c>
    </row>
    <row r="8" spans="1:57" ht="10">
      <c r="B8" s="175"/>
      <c r="I8" s="67"/>
      <c r="M8" s="26" t="s">
        <v>618</v>
      </c>
      <c r="AE8" s="26" t="s">
        <v>573</v>
      </c>
      <c r="AO8" s="67"/>
      <c r="AV8" s="21">
        <f>SUM(PT!E8)</f>
        <v>25</v>
      </c>
      <c r="BA8" s="67"/>
      <c r="BD8" s="98" t="s">
        <v>604</v>
      </c>
      <c r="BE8" s="98" t="s">
        <v>604</v>
      </c>
    </row>
    <row r="9" spans="1:57" ht="10">
      <c r="C9" s="26" t="s">
        <v>175</v>
      </c>
      <c r="D9" s="26" t="s">
        <v>176</v>
      </c>
      <c r="E9" s="26" t="s">
        <v>177</v>
      </c>
      <c r="F9" s="26" t="s">
        <v>178</v>
      </c>
      <c r="G9" s="26" t="s">
        <v>395</v>
      </c>
      <c r="H9" s="26" t="s">
        <v>179</v>
      </c>
      <c r="I9" s="67"/>
      <c r="J9" s="26" t="s">
        <v>572</v>
      </c>
      <c r="O9" s="26" t="s">
        <v>331</v>
      </c>
      <c r="AE9" s="26" t="s">
        <v>360</v>
      </c>
      <c r="AO9" s="67"/>
      <c r="AP9" s="56" t="s">
        <v>180</v>
      </c>
      <c r="AQ9" s="29" t="s">
        <v>408</v>
      </c>
      <c r="AR9" s="56" t="s">
        <v>181</v>
      </c>
      <c r="AS9" s="56" t="s">
        <v>182</v>
      </c>
      <c r="AT9" s="56" t="s">
        <v>183</v>
      </c>
      <c r="AU9" s="1" t="s">
        <v>446</v>
      </c>
      <c r="AV9" s="56" t="s">
        <v>191</v>
      </c>
      <c r="AW9" s="56" t="s">
        <v>188</v>
      </c>
      <c r="AX9" s="1" t="s">
        <v>185</v>
      </c>
      <c r="AY9" s="56" t="s">
        <v>190</v>
      </c>
      <c r="AZ9" s="56" t="s">
        <v>456</v>
      </c>
      <c r="BA9" s="79"/>
      <c r="BD9" s="123" t="s">
        <v>453</v>
      </c>
      <c r="BE9" s="123" t="s">
        <v>588</v>
      </c>
    </row>
    <row r="10" spans="1:57" s="43" customFormat="1" ht="11" thickBot="1">
      <c r="A10" s="33"/>
      <c r="B10" s="33" t="s">
        <v>174</v>
      </c>
      <c r="C10" s="43">
        <v>1000</v>
      </c>
      <c r="D10" s="43">
        <v>1105</v>
      </c>
      <c r="E10" s="43">
        <v>1110</v>
      </c>
      <c r="F10" s="43">
        <v>1111</v>
      </c>
      <c r="G10" s="43">
        <v>2410</v>
      </c>
      <c r="H10" s="43">
        <v>2420</v>
      </c>
      <c r="I10" s="69"/>
      <c r="J10" s="43" t="s">
        <v>327</v>
      </c>
      <c r="K10" s="43" t="s">
        <v>328</v>
      </c>
      <c r="L10" s="43" t="s">
        <v>449</v>
      </c>
      <c r="M10" s="43" t="s">
        <v>330</v>
      </c>
      <c r="O10" s="43" t="s">
        <v>332</v>
      </c>
      <c r="P10" s="43" t="s">
        <v>333</v>
      </c>
      <c r="Q10" s="43" t="s">
        <v>403</v>
      </c>
      <c r="R10" s="43" t="s">
        <v>334</v>
      </c>
      <c r="S10" s="43" t="s">
        <v>336</v>
      </c>
      <c r="T10" s="43" t="s">
        <v>337</v>
      </c>
      <c r="U10" s="43" t="s">
        <v>607</v>
      </c>
      <c r="V10" s="43" t="s">
        <v>608</v>
      </c>
      <c r="W10" s="43" t="s">
        <v>341</v>
      </c>
      <c r="X10" s="43" t="s">
        <v>340</v>
      </c>
      <c r="Y10" s="43" t="s">
        <v>343</v>
      </c>
      <c r="Z10" s="43" t="s">
        <v>345</v>
      </c>
      <c r="AA10" s="43" t="s">
        <v>346</v>
      </c>
      <c r="AB10" s="43" t="s">
        <v>350</v>
      </c>
      <c r="AC10" s="43" t="s">
        <v>351</v>
      </c>
      <c r="AD10" s="43" t="s">
        <v>354</v>
      </c>
      <c r="AE10" s="43" t="s">
        <v>361</v>
      </c>
      <c r="AF10" s="43" t="s">
        <v>447</v>
      </c>
      <c r="AG10" s="43" t="s">
        <v>363</v>
      </c>
      <c r="AH10" s="43" t="s">
        <v>394</v>
      </c>
      <c r="AI10" s="43" t="s">
        <v>183</v>
      </c>
      <c r="AJ10" s="43" t="s">
        <v>437</v>
      </c>
      <c r="AK10" s="43" t="s">
        <v>438</v>
      </c>
      <c r="AL10" s="43" t="s">
        <v>439</v>
      </c>
      <c r="AM10" s="43" t="s">
        <v>440</v>
      </c>
      <c r="AN10" s="43" t="s">
        <v>452</v>
      </c>
      <c r="AO10" s="69"/>
      <c r="AP10" s="7" t="s">
        <v>392</v>
      </c>
      <c r="AQ10" s="43" t="s">
        <v>409</v>
      </c>
      <c r="AR10" s="7">
        <v>2122</v>
      </c>
      <c r="AS10" s="7">
        <v>2134</v>
      </c>
      <c r="AT10" s="7">
        <v>2252</v>
      </c>
      <c r="AU10" s="7"/>
      <c r="AV10" s="7">
        <v>3200</v>
      </c>
      <c r="AW10" s="7">
        <v>2620</v>
      </c>
      <c r="AX10" s="7">
        <v>2500</v>
      </c>
      <c r="AY10" s="7">
        <v>3100</v>
      </c>
      <c r="AZ10" s="7">
        <v>2840</v>
      </c>
      <c r="BA10" s="69"/>
      <c r="BB10" s="51"/>
      <c r="BD10" s="99" t="s">
        <v>642</v>
      </c>
      <c r="BE10" s="99" t="s">
        <v>454</v>
      </c>
    </row>
    <row r="11" spans="1:57">
      <c r="A11" s="31" t="s">
        <v>268</v>
      </c>
      <c r="I11" s="67"/>
      <c r="AO11" s="67"/>
      <c r="AP11" s="38"/>
      <c r="AQ11" s="47"/>
      <c r="AR11" s="38"/>
      <c r="AS11" s="38"/>
      <c r="AT11" s="38"/>
      <c r="AV11" s="38"/>
      <c r="AW11" s="38"/>
      <c r="AY11" s="38"/>
      <c r="AZ11" s="38"/>
      <c r="BA11" s="71"/>
      <c r="BD11" s="97"/>
      <c r="BE11" s="290"/>
    </row>
    <row r="12" spans="1:57">
      <c r="A12" s="31" t="s">
        <v>269</v>
      </c>
      <c r="C12" s="47"/>
      <c r="D12" s="47"/>
      <c r="E12" s="47"/>
      <c r="F12" s="47"/>
      <c r="G12" s="47"/>
      <c r="H12" s="47"/>
      <c r="I12" s="71"/>
      <c r="AO12" s="67"/>
      <c r="AP12" s="38"/>
      <c r="AQ12" s="47"/>
      <c r="AR12" s="38"/>
      <c r="AS12" s="38"/>
      <c r="AT12" s="38"/>
      <c r="AV12" s="38"/>
      <c r="AW12" s="38"/>
      <c r="AY12" s="38"/>
      <c r="AZ12" s="38"/>
      <c r="BA12" s="71"/>
      <c r="BD12" s="97"/>
      <c r="BE12" s="290"/>
    </row>
    <row r="13" spans="1:57" ht="12">
      <c r="A13" s="31" t="s">
        <v>171</v>
      </c>
      <c r="B13" s="31" t="s">
        <v>270</v>
      </c>
      <c r="C13" s="47">
        <v>75000</v>
      </c>
      <c r="D13" s="47">
        <f>SUM(J13:M13)</f>
        <v>0</v>
      </c>
      <c r="E13" s="47">
        <f t="shared" ref="E13:E37" si="0">SUM(O13:AI13)</f>
        <v>0</v>
      </c>
      <c r="F13" s="47">
        <f>SUM(AJ13:AN13)</f>
        <v>0</v>
      </c>
      <c r="G13" s="47"/>
      <c r="H13" s="47"/>
      <c r="I13" s="7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67"/>
      <c r="AP13" s="54">
        <f>SUM('AC-SVC'!C13)*AP$7</f>
        <v>0</v>
      </c>
      <c r="AQ13" s="54">
        <f>SUM('AC-SVC'!D13)</f>
        <v>0</v>
      </c>
      <c r="AR13" s="54">
        <f>SUM('AC-SVC'!G13)</f>
        <v>0</v>
      </c>
      <c r="AS13" s="54">
        <f>SUM('AC-SVC'!J13)</f>
        <v>0</v>
      </c>
      <c r="AT13" s="54">
        <f>SUM('AC-SVC'!O13)</f>
        <v>0</v>
      </c>
      <c r="AU13" s="54">
        <f>SUM('AC-SVC'!P13)*AU$7</f>
        <v>0</v>
      </c>
      <c r="AV13" s="54">
        <f>SUM(PT!E13)</f>
        <v>0</v>
      </c>
      <c r="AW13" s="54">
        <f>SUM(FC!F13)</f>
        <v>0</v>
      </c>
      <c r="AX13" s="54">
        <v>0</v>
      </c>
      <c r="AY13" s="54">
        <f>SUM(FS!F13)</f>
        <v>0</v>
      </c>
      <c r="AZ13" s="54">
        <f>SUM(IT!F13)</f>
        <v>0</v>
      </c>
      <c r="BA13" s="80"/>
      <c r="BB13" s="60">
        <f t="shared" ref="BB13:BB37" si="1">SUM(C13:H13)+SUM(AP13:AZ13)</f>
        <v>75000</v>
      </c>
      <c r="BD13" s="100"/>
      <c r="BE13" s="288">
        <f>SUM(Sheet1!K13)</f>
        <v>0</v>
      </c>
    </row>
    <row r="14" spans="1:57" ht="12">
      <c r="A14" s="31" t="s">
        <v>172</v>
      </c>
      <c r="B14" s="31" t="s">
        <v>271</v>
      </c>
      <c r="C14" s="47">
        <f>150*SUM!B7+75000</f>
        <v>135000</v>
      </c>
      <c r="D14" s="47">
        <f t="shared" ref="D14:D37" si="2">SUM(J14:M14)</f>
        <v>0</v>
      </c>
      <c r="E14" s="64">
        <f t="shared" si="0"/>
        <v>0</v>
      </c>
      <c r="F14" s="47">
        <f t="shared" ref="F14:F37" si="3">SUM(AJ14:AN14)</f>
        <v>0</v>
      </c>
      <c r="G14" s="47"/>
      <c r="H14" s="47"/>
      <c r="I14" s="71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67"/>
      <c r="AP14" s="54">
        <f>SUM('AC-SVC'!C14)*AP$7</f>
        <v>0</v>
      </c>
      <c r="AQ14" s="54">
        <f>SUM('AC-SVC'!D14)</f>
        <v>0</v>
      </c>
      <c r="AR14" s="54">
        <f>SUM('AC-SVC'!G14)</f>
        <v>0</v>
      </c>
      <c r="AS14" s="54">
        <f>SUM('AC-SVC'!J14)</f>
        <v>0</v>
      </c>
      <c r="AT14" s="54">
        <f>SUM('AC-SVC'!O14)</f>
        <v>0</v>
      </c>
      <c r="AU14" s="54">
        <f>SUM('AC-SVC'!P14)*AU$7</f>
        <v>0</v>
      </c>
      <c r="AV14" s="54">
        <f>SUM(PT!E14)</f>
        <v>0</v>
      </c>
      <c r="AW14" s="54">
        <f>SUM(FC!F14)</f>
        <v>0</v>
      </c>
      <c r="AX14" s="54">
        <v>0</v>
      </c>
      <c r="AY14" s="54">
        <f>SUM(FS!F14)</f>
        <v>0</v>
      </c>
      <c r="AZ14" s="54">
        <f>SUM(IT!F14)</f>
        <v>0</v>
      </c>
      <c r="BA14" s="80"/>
      <c r="BB14" s="60">
        <f t="shared" si="1"/>
        <v>135000</v>
      </c>
      <c r="BD14" s="101">
        <v>26686.240000000002</v>
      </c>
      <c r="BE14" s="288">
        <f>SUM(Sheet1!K14)</f>
        <v>50293.962264150949</v>
      </c>
    </row>
    <row r="15" spans="1:57" ht="12">
      <c r="A15" s="31" t="s">
        <v>173</v>
      </c>
      <c r="B15" s="31" t="s">
        <v>272</v>
      </c>
      <c r="C15" s="47"/>
      <c r="D15" s="47">
        <f t="shared" si="2"/>
        <v>0</v>
      </c>
      <c r="E15" s="64">
        <f t="shared" si="0"/>
        <v>0</v>
      </c>
      <c r="F15" s="47">
        <f t="shared" si="3"/>
        <v>0</v>
      </c>
      <c r="G15" s="47"/>
      <c r="H15" s="47"/>
      <c r="I15" s="71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67"/>
      <c r="AP15" s="54">
        <f>SUM('AC-SVC'!C15)*AP$7</f>
        <v>0</v>
      </c>
      <c r="AQ15" s="54">
        <f>SUM('AC-SVC'!D15)</f>
        <v>0</v>
      </c>
      <c r="AR15" s="54">
        <f>SUM('AC-SVC'!G15)</f>
        <v>0</v>
      </c>
      <c r="AS15" s="54">
        <f>SUM('AC-SVC'!J15)</f>
        <v>0</v>
      </c>
      <c r="AT15" s="54">
        <f>SUM('AC-SVC'!O15)</f>
        <v>0</v>
      </c>
      <c r="AU15" s="54">
        <f>SUM('AC-SVC'!P15)*AU$7</f>
        <v>0</v>
      </c>
      <c r="AV15" s="54">
        <f>SUM(PT!E15)</f>
        <v>0</v>
      </c>
      <c r="AW15" s="54">
        <f>SUM(FC!F15)</f>
        <v>0</v>
      </c>
      <c r="AX15" s="54">
        <v>0</v>
      </c>
      <c r="AY15" s="54">
        <f>SUM(FS!F15)</f>
        <v>0</v>
      </c>
      <c r="AZ15" s="54">
        <f>SUM(IT!F15)</f>
        <v>0</v>
      </c>
      <c r="BA15" s="80"/>
      <c r="BB15" s="60">
        <f t="shared" si="1"/>
        <v>0</v>
      </c>
      <c r="BD15" s="101"/>
      <c r="BE15" s="288">
        <f>SUM(Sheet1!K15)</f>
        <v>0</v>
      </c>
    </row>
    <row r="16" spans="1:57" ht="12">
      <c r="A16" s="31" t="s">
        <v>193</v>
      </c>
      <c r="B16" s="31" t="s">
        <v>273</v>
      </c>
      <c r="C16" s="47"/>
      <c r="D16" s="47">
        <f t="shared" si="2"/>
        <v>0</v>
      </c>
      <c r="E16" s="64">
        <f t="shared" si="0"/>
        <v>0</v>
      </c>
      <c r="F16" s="47">
        <f t="shared" si="3"/>
        <v>0</v>
      </c>
      <c r="G16" s="47"/>
      <c r="H16" s="47"/>
      <c r="I16" s="71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67"/>
      <c r="AP16" s="54">
        <f>SUM('AC-SVC'!C16)*AP$7</f>
        <v>0</v>
      </c>
      <c r="AQ16" s="54">
        <f>SUM('AC-SVC'!D16)</f>
        <v>0</v>
      </c>
      <c r="AR16" s="54">
        <f>SUM('AC-SVC'!G16)</f>
        <v>0</v>
      </c>
      <c r="AS16" s="54">
        <f>SUM('AC-SVC'!J16)</f>
        <v>0</v>
      </c>
      <c r="AT16" s="54">
        <f>SUM('AC-SVC'!O16)</f>
        <v>0</v>
      </c>
      <c r="AU16" s="54">
        <f>SUM('AC-SVC'!P16)*AU$7</f>
        <v>0</v>
      </c>
      <c r="AV16" s="54">
        <f>SUM(PT!E16)</f>
        <v>0</v>
      </c>
      <c r="AW16" s="54">
        <f>SUM(FC!F16)</f>
        <v>0</v>
      </c>
      <c r="AX16" s="54">
        <v>0</v>
      </c>
      <c r="AY16" s="54">
        <f>SUM(FS!F16)</f>
        <v>64000</v>
      </c>
      <c r="AZ16" s="54">
        <f>SUM(IT!F16)</f>
        <v>0</v>
      </c>
      <c r="BA16" s="80"/>
      <c r="BB16" s="60">
        <f t="shared" si="1"/>
        <v>64000</v>
      </c>
      <c r="BD16" s="101">
        <v>24204.63</v>
      </c>
      <c r="BE16" s="288">
        <f>SUM(Sheet1!K16)</f>
        <v>44434.286792452833</v>
      </c>
    </row>
    <row r="17" spans="1:57" ht="12">
      <c r="A17" s="31" t="s">
        <v>194</v>
      </c>
      <c r="B17" s="31" t="s">
        <v>274</v>
      </c>
      <c r="C17" s="47"/>
      <c r="D17" s="47">
        <f t="shared" si="2"/>
        <v>0</v>
      </c>
      <c r="E17" s="64">
        <f t="shared" si="0"/>
        <v>0</v>
      </c>
      <c r="F17" s="47">
        <f t="shared" si="3"/>
        <v>0</v>
      </c>
      <c r="G17" s="47"/>
      <c r="H17" s="47"/>
      <c r="I17" s="71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67"/>
      <c r="AP17" s="54">
        <f>SUM('AC-SVC'!C17)*AP$7</f>
        <v>0</v>
      </c>
      <c r="AQ17" s="54">
        <f>SUM('AC-SVC'!D17)</f>
        <v>0</v>
      </c>
      <c r="AR17" s="54">
        <f>SUM('AC-SVC'!G17)</f>
        <v>0</v>
      </c>
      <c r="AS17" s="54">
        <f>SUM('AC-SVC'!J17)</f>
        <v>0</v>
      </c>
      <c r="AT17" s="54">
        <f>SUM('AC-SVC'!O17)</f>
        <v>0</v>
      </c>
      <c r="AU17" s="54">
        <f>SUM('AC-SVC'!P17)*AU$7</f>
        <v>0</v>
      </c>
      <c r="AV17" s="54">
        <f>SUM(PT!E17)</f>
        <v>33750</v>
      </c>
      <c r="AW17" s="54">
        <f>SUM(FC!F17)</f>
        <v>0</v>
      </c>
      <c r="AX17" s="54">
        <v>0</v>
      </c>
      <c r="AY17" s="54">
        <f>SUM(FS!F17)</f>
        <v>0</v>
      </c>
      <c r="AZ17" s="54">
        <f>SUM(IT!F17)</f>
        <v>0</v>
      </c>
      <c r="BA17" s="80"/>
      <c r="BB17" s="60">
        <f t="shared" si="1"/>
        <v>33750</v>
      </c>
      <c r="BD17" s="101">
        <v>35476.379999999997</v>
      </c>
      <c r="BE17" s="288">
        <f>SUM(Sheet1!K17)</f>
        <v>84182.920754716979</v>
      </c>
    </row>
    <row r="18" spans="1:57" ht="12">
      <c r="A18" s="31" t="s">
        <v>195</v>
      </c>
      <c r="B18" s="31" t="s">
        <v>275</v>
      </c>
      <c r="C18" s="47"/>
      <c r="D18" s="47">
        <f t="shared" si="2"/>
        <v>0</v>
      </c>
      <c r="E18" s="64">
        <f t="shared" si="0"/>
        <v>0</v>
      </c>
      <c r="F18" s="47">
        <f t="shared" si="3"/>
        <v>0</v>
      </c>
      <c r="G18" s="47"/>
      <c r="H18" s="47"/>
      <c r="I18" s="71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67"/>
      <c r="AP18" s="54">
        <f>SUM('AC-SVC'!C18)*AP$7</f>
        <v>0</v>
      </c>
      <c r="AQ18" s="54">
        <f>SUM('AC-SVC'!D18)</f>
        <v>0</v>
      </c>
      <c r="AR18" s="54">
        <f>SUM('AC-SVC'!G18)</f>
        <v>0</v>
      </c>
      <c r="AS18" s="54">
        <f>SUM('AC-SVC'!J18)</f>
        <v>0</v>
      </c>
      <c r="AT18" s="54">
        <f>SUM('AC-SVC'!O18)</f>
        <v>0</v>
      </c>
      <c r="AU18" s="54">
        <f>SUM('AC-SVC'!P18)*AU$7</f>
        <v>0</v>
      </c>
      <c r="AV18" s="54">
        <f>SUM(PT!E18)</f>
        <v>0</v>
      </c>
      <c r="AW18" s="54">
        <f>SUM(FC!F18)</f>
        <v>0</v>
      </c>
      <c r="AX18" s="54">
        <v>0</v>
      </c>
      <c r="AY18" s="54">
        <f>SUM(FS!F18)</f>
        <v>0</v>
      </c>
      <c r="AZ18" s="54">
        <f>SUM(IT!F18)</f>
        <v>0</v>
      </c>
      <c r="BA18" s="80"/>
      <c r="BB18" s="60">
        <f t="shared" si="1"/>
        <v>0</v>
      </c>
      <c r="BD18" s="101"/>
      <c r="BE18" s="288">
        <f>SUM(Sheet1!K18)</f>
        <v>0</v>
      </c>
    </row>
    <row r="19" spans="1:57" ht="12">
      <c r="A19" s="31" t="s">
        <v>196</v>
      </c>
      <c r="B19" s="31" t="s">
        <v>276</v>
      </c>
      <c r="C19" s="47"/>
      <c r="D19" s="47">
        <f t="shared" si="2"/>
        <v>0</v>
      </c>
      <c r="E19" s="64">
        <f t="shared" si="0"/>
        <v>0</v>
      </c>
      <c r="F19" s="47">
        <f t="shared" si="3"/>
        <v>0</v>
      </c>
      <c r="G19" s="47"/>
      <c r="H19" s="47"/>
      <c r="I19" s="71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67"/>
      <c r="AP19" s="54">
        <f>SUM('AC-SVC'!C19)*AP$7</f>
        <v>0</v>
      </c>
      <c r="AQ19" s="54">
        <f>SUM('AC-SVC'!D19)</f>
        <v>0</v>
      </c>
      <c r="AR19" s="54">
        <f>SUM('AC-SVC'!G19)</f>
        <v>0</v>
      </c>
      <c r="AS19" s="54">
        <f>SUM('AC-SVC'!J19)</f>
        <v>0</v>
      </c>
      <c r="AT19" s="54">
        <f>SUM('AC-SVC'!O19)</f>
        <v>0</v>
      </c>
      <c r="AU19" s="54">
        <f>SUM('AC-SVC'!P19)*AU$7</f>
        <v>0</v>
      </c>
      <c r="AV19" s="54">
        <f>SUM(PT!E19)</f>
        <v>0</v>
      </c>
      <c r="AW19" s="54">
        <f>SUM(FC!F19)</f>
        <v>0</v>
      </c>
      <c r="AX19" s="54">
        <v>0</v>
      </c>
      <c r="AY19" s="54">
        <f>SUM(FS!F19)</f>
        <v>0</v>
      </c>
      <c r="AZ19" s="54">
        <f>SUM(IT!F19)</f>
        <v>0</v>
      </c>
      <c r="BA19" s="80"/>
      <c r="BB19" s="60">
        <f t="shared" si="1"/>
        <v>0</v>
      </c>
      <c r="BD19" s="101"/>
      <c r="BE19" s="288">
        <f>SUM(Sheet1!K19)</f>
        <v>0</v>
      </c>
    </row>
    <row r="20" spans="1:57" ht="12">
      <c r="A20" s="31" t="s">
        <v>197</v>
      </c>
      <c r="B20" s="31" t="s">
        <v>277</v>
      </c>
      <c r="C20" s="47"/>
      <c r="D20" s="47">
        <f t="shared" si="2"/>
        <v>0</v>
      </c>
      <c r="E20" s="64">
        <f t="shared" si="0"/>
        <v>0</v>
      </c>
      <c r="F20" s="47">
        <f t="shared" si="3"/>
        <v>0</v>
      </c>
      <c r="G20" s="47"/>
      <c r="H20" s="47"/>
      <c r="I20" s="71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67"/>
      <c r="AP20" s="54">
        <f>SUM('AC-SVC'!C20)*AP$7</f>
        <v>0</v>
      </c>
      <c r="AQ20" s="54">
        <f>SUM('AC-SVC'!D20)</f>
        <v>0</v>
      </c>
      <c r="AR20" s="54">
        <f>SUM('AC-SVC'!G20)</f>
        <v>0</v>
      </c>
      <c r="AS20" s="54">
        <f>SUM('AC-SVC'!J20)</f>
        <v>0</v>
      </c>
      <c r="AT20" s="54">
        <f>SUM('AC-SVC'!O20)</f>
        <v>0</v>
      </c>
      <c r="AU20" s="54">
        <f>SUM('AC-SVC'!P20)*AU$7</f>
        <v>0</v>
      </c>
      <c r="AV20" s="54">
        <f>SUM(PT!E20)</f>
        <v>0</v>
      </c>
      <c r="AW20" s="54">
        <f>SUM(FC!F20)</f>
        <v>0</v>
      </c>
      <c r="AX20" s="54">
        <v>0</v>
      </c>
      <c r="AY20" s="54">
        <f>SUM(FS!F20)</f>
        <v>0</v>
      </c>
      <c r="AZ20" s="54">
        <f>SUM(IT!F20)</f>
        <v>0</v>
      </c>
      <c r="BA20" s="80"/>
      <c r="BB20" s="60">
        <f t="shared" si="1"/>
        <v>0</v>
      </c>
      <c r="BD20" s="101"/>
      <c r="BE20" s="288">
        <f>SUM(Sheet1!K20)</f>
        <v>0</v>
      </c>
    </row>
    <row r="21" spans="1:57" ht="12">
      <c r="A21" s="31" t="s">
        <v>198</v>
      </c>
      <c r="B21" s="31" t="s">
        <v>278</v>
      </c>
      <c r="C21" s="66">
        <f>SUM(SUM!B7*190)</f>
        <v>76000</v>
      </c>
      <c r="D21" s="47">
        <f t="shared" si="2"/>
        <v>0</v>
      </c>
      <c r="E21" s="64">
        <f t="shared" si="0"/>
        <v>0</v>
      </c>
      <c r="F21" s="47">
        <f t="shared" si="3"/>
        <v>0</v>
      </c>
      <c r="G21" s="47"/>
      <c r="H21" s="47"/>
      <c r="I21" s="71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67"/>
      <c r="AP21" s="54">
        <f>SUM('AC-SVC'!C21)*AP$7</f>
        <v>0</v>
      </c>
      <c r="AQ21" s="54">
        <f>SUM('AC-SVC'!D21)</f>
        <v>0</v>
      </c>
      <c r="AR21" s="54">
        <f>SUM('AC-SVC'!G21)</f>
        <v>0</v>
      </c>
      <c r="AS21" s="54">
        <f>SUM('AC-SVC'!J21)</f>
        <v>0</v>
      </c>
      <c r="AT21" s="54">
        <f>SUM('AC-SVC'!O21)</f>
        <v>0</v>
      </c>
      <c r="AU21" s="54">
        <f>SUM('AC-SVC'!P21)*AU$7</f>
        <v>0</v>
      </c>
      <c r="AV21" s="54">
        <f>SUM(PT!E21)</f>
        <v>0</v>
      </c>
      <c r="AW21" s="54">
        <f>SUM(FC!F21)</f>
        <v>0</v>
      </c>
      <c r="AX21" s="54">
        <v>0</v>
      </c>
      <c r="AY21" s="54">
        <f>SUM(FS!F21)</f>
        <v>0</v>
      </c>
      <c r="AZ21" s="54">
        <f>SUM(IT!F21)</f>
        <v>0</v>
      </c>
      <c r="BA21" s="80"/>
      <c r="BB21" s="60">
        <f t="shared" si="1"/>
        <v>76000</v>
      </c>
      <c r="BD21" s="101">
        <v>40802.480000000003</v>
      </c>
      <c r="BE21" s="288">
        <f>BB21</f>
        <v>76000</v>
      </c>
    </row>
    <row r="22" spans="1:57" ht="12">
      <c r="A22" s="31" t="s">
        <v>199</v>
      </c>
      <c r="B22" s="31" t="s">
        <v>279</v>
      </c>
      <c r="C22" s="47"/>
      <c r="D22" s="47">
        <f t="shared" si="2"/>
        <v>0</v>
      </c>
      <c r="E22" s="64">
        <f t="shared" si="0"/>
        <v>0</v>
      </c>
      <c r="F22" s="47">
        <f t="shared" si="3"/>
        <v>0</v>
      </c>
      <c r="G22" s="47"/>
      <c r="H22" s="47"/>
      <c r="I22" s="71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67"/>
      <c r="AP22" s="54">
        <f>SUM('AC-SVC'!C22)*AP$7</f>
        <v>0</v>
      </c>
      <c r="AQ22" s="54">
        <f>SUM('AC-SVC'!D22)</f>
        <v>0</v>
      </c>
      <c r="AR22" s="54">
        <f>SUM('AC-SVC'!G22)</f>
        <v>0</v>
      </c>
      <c r="AS22" s="54">
        <f>SUM('AC-SVC'!J22)</f>
        <v>0</v>
      </c>
      <c r="AT22" s="54">
        <f>SUM('AC-SVC'!O22)</f>
        <v>0</v>
      </c>
      <c r="AU22" s="54">
        <f>SUM('AC-SVC'!P22)*AU$7</f>
        <v>0</v>
      </c>
      <c r="AV22" s="54">
        <f>SUM(PT!E22)</f>
        <v>0</v>
      </c>
      <c r="AW22" s="54">
        <f>SUM(FC!F22)</f>
        <v>0</v>
      </c>
      <c r="AX22" s="54">
        <v>0</v>
      </c>
      <c r="AY22" s="54">
        <f>SUM(FS!F22)</f>
        <v>0</v>
      </c>
      <c r="AZ22" s="54">
        <f>SUM(IT!F22)</f>
        <v>0</v>
      </c>
      <c r="BA22" s="80"/>
      <c r="BB22" s="60">
        <f t="shared" si="1"/>
        <v>0</v>
      </c>
      <c r="BD22" s="101"/>
      <c r="BE22" s="288">
        <f>SUM(Sheet1!K22)</f>
        <v>0</v>
      </c>
    </row>
    <row r="23" spans="1:57" ht="12">
      <c r="A23" s="31" t="s">
        <v>200</v>
      </c>
      <c r="B23" s="31" t="s">
        <v>280</v>
      </c>
      <c r="C23" s="47"/>
      <c r="D23" s="47">
        <f t="shared" si="2"/>
        <v>0</v>
      </c>
      <c r="E23" s="64">
        <f t="shared" si="0"/>
        <v>0</v>
      </c>
      <c r="F23" s="47">
        <f t="shared" si="3"/>
        <v>0</v>
      </c>
      <c r="G23" s="47"/>
      <c r="H23" s="47"/>
      <c r="I23" s="71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67"/>
      <c r="AP23" s="54">
        <f>SUM('AC-SVC'!C23)*AP$7</f>
        <v>0</v>
      </c>
      <c r="AQ23" s="54">
        <f>SUM('AC-SVC'!D23)</f>
        <v>0</v>
      </c>
      <c r="AR23" s="54">
        <f>SUM('AC-SVC'!G23)</f>
        <v>0</v>
      </c>
      <c r="AS23" s="54">
        <f>SUM('AC-SVC'!J23)</f>
        <v>0</v>
      </c>
      <c r="AT23" s="54">
        <f>SUM('AC-SVC'!O23)</f>
        <v>500</v>
      </c>
      <c r="AU23" s="54">
        <f>SUM('AC-SVC'!P23)*AU$7</f>
        <v>0</v>
      </c>
      <c r="AV23" s="54">
        <f>SUM(PT!E23)</f>
        <v>0</v>
      </c>
      <c r="AW23" s="54">
        <f>SUM(FC!F23)</f>
        <v>0</v>
      </c>
      <c r="AX23" s="54">
        <v>0</v>
      </c>
      <c r="AY23" s="54">
        <f>SUM(FS!F23)</f>
        <v>0</v>
      </c>
      <c r="AZ23" s="54">
        <f>SUM(IT!F23)</f>
        <v>0</v>
      </c>
      <c r="BA23" s="80"/>
      <c r="BB23" s="60">
        <f t="shared" si="1"/>
        <v>500</v>
      </c>
      <c r="BD23" s="101">
        <v>45</v>
      </c>
      <c r="BE23" s="288">
        <f>SUM(Sheet1!K23)</f>
        <v>488.30188679245288</v>
      </c>
    </row>
    <row r="24" spans="1:57" ht="12">
      <c r="A24" s="31" t="s">
        <v>201</v>
      </c>
      <c r="B24" s="31" t="s">
        <v>281</v>
      </c>
      <c r="C24" s="47"/>
      <c r="D24" s="47">
        <f t="shared" si="2"/>
        <v>0</v>
      </c>
      <c r="E24" s="64">
        <f t="shared" si="0"/>
        <v>0</v>
      </c>
      <c r="F24" s="47">
        <f t="shared" si="3"/>
        <v>0</v>
      </c>
      <c r="G24" s="47"/>
      <c r="H24" s="47"/>
      <c r="I24" s="71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67"/>
      <c r="AP24" s="54">
        <f>SUM('AC-SVC'!C24)*AP$7</f>
        <v>0</v>
      </c>
      <c r="AQ24" s="54">
        <f>SUM('AC-SVC'!D24)</f>
        <v>0</v>
      </c>
      <c r="AR24" s="54">
        <f>SUM('AC-SVC'!G24)</f>
        <v>0</v>
      </c>
      <c r="AS24" s="54">
        <f>SUM('AC-SVC'!J24)</f>
        <v>0</v>
      </c>
      <c r="AT24" s="54">
        <f>SUM('AC-SVC'!O24)</f>
        <v>0</v>
      </c>
      <c r="AU24" s="54">
        <f>SUM('AC-SVC'!P24)*AU$7</f>
        <v>0</v>
      </c>
      <c r="AV24" s="54">
        <f>SUM(PT!E24)</f>
        <v>0</v>
      </c>
      <c r="AW24" s="54">
        <f>SUM(FC!F24)</f>
        <v>0</v>
      </c>
      <c r="AX24" s="54">
        <v>0</v>
      </c>
      <c r="AY24" s="54">
        <f>SUM(FS!F24)</f>
        <v>0</v>
      </c>
      <c r="AZ24" s="54">
        <f>SUM(IT!F24)</f>
        <v>0</v>
      </c>
      <c r="BA24" s="80"/>
      <c r="BB24" s="60">
        <f t="shared" si="1"/>
        <v>0</v>
      </c>
      <c r="BD24" s="101"/>
      <c r="BE24" s="288">
        <f>SUM(Sheet1!K24)</f>
        <v>0</v>
      </c>
    </row>
    <row r="25" spans="1:57" ht="12">
      <c r="A25" s="31" t="s">
        <v>202</v>
      </c>
      <c r="B25" s="31" t="s">
        <v>282</v>
      </c>
      <c r="C25" s="47"/>
      <c r="D25" s="47">
        <f t="shared" si="2"/>
        <v>0</v>
      </c>
      <c r="E25" s="64">
        <f t="shared" si="0"/>
        <v>0</v>
      </c>
      <c r="F25" s="47">
        <f t="shared" si="3"/>
        <v>0</v>
      </c>
      <c r="G25" s="47"/>
      <c r="H25" s="47"/>
      <c r="I25" s="71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67"/>
      <c r="AP25" s="54">
        <f>SUM('AC-SVC'!C25)*AP$7</f>
        <v>0</v>
      </c>
      <c r="AQ25" s="54">
        <f>SUM('AC-SVC'!D25)</f>
        <v>0</v>
      </c>
      <c r="AR25" s="54">
        <f>SUM('AC-SVC'!G25)</f>
        <v>0</v>
      </c>
      <c r="AS25" s="54">
        <f>SUM('AC-SVC'!J25)</f>
        <v>0</v>
      </c>
      <c r="AT25" s="54">
        <f>SUM('AC-SVC'!O25)</f>
        <v>0</v>
      </c>
      <c r="AU25" s="54">
        <f>SUM('AC-SVC'!P25)*AU$7</f>
        <v>0</v>
      </c>
      <c r="AV25" s="54">
        <f>SUM(PT!E25)</f>
        <v>0</v>
      </c>
      <c r="AW25" s="54">
        <f>SUM(FC!F25)</f>
        <v>0</v>
      </c>
      <c r="AX25" s="54">
        <v>0</v>
      </c>
      <c r="AY25" s="54">
        <f>SUM(FS!F25)</f>
        <v>0</v>
      </c>
      <c r="AZ25" s="54">
        <f>SUM(IT!F25)</f>
        <v>0</v>
      </c>
      <c r="BA25" s="80"/>
      <c r="BB25" s="60">
        <f t="shared" si="1"/>
        <v>0</v>
      </c>
      <c r="BD25" s="101"/>
      <c r="BE25" s="288">
        <f>SUM(Sheet1!K25)</f>
        <v>0</v>
      </c>
    </row>
    <row r="26" spans="1:57" ht="12">
      <c r="A26" s="31" t="s">
        <v>203</v>
      </c>
      <c r="B26" s="31" t="s">
        <v>283</v>
      </c>
      <c r="C26" s="47"/>
      <c r="D26" s="47">
        <f t="shared" si="2"/>
        <v>0</v>
      </c>
      <c r="E26" s="64">
        <f t="shared" si="0"/>
        <v>0</v>
      </c>
      <c r="F26" s="47">
        <f t="shared" si="3"/>
        <v>0</v>
      </c>
      <c r="G26" s="47"/>
      <c r="H26" s="47"/>
      <c r="I26" s="71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67"/>
      <c r="AP26" s="54">
        <f>SUM('AC-SVC'!C26)*AP$7</f>
        <v>0</v>
      </c>
      <c r="AQ26" s="54">
        <f>SUM('AC-SVC'!D26)</f>
        <v>0</v>
      </c>
      <c r="AR26" s="54">
        <f>SUM('AC-SVC'!G26)</f>
        <v>0</v>
      </c>
      <c r="AS26" s="54">
        <f>SUM('AC-SVC'!J26)</f>
        <v>0</v>
      </c>
      <c r="AT26" s="54">
        <f>SUM('AC-SVC'!O26)</f>
        <v>0</v>
      </c>
      <c r="AU26" s="54">
        <f>SUM('AC-SVC'!P26)*AU$7</f>
        <v>0</v>
      </c>
      <c r="AV26" s="54">
        <f>SUM(PT!E26)</f>
        <v>0</v>
      </c>
      <c r="AW26" s="54">
        <f>SUM(FC!F26)</f>
        <v>0</v>
      </c>
      <c r="AX26" s="54">
        <v>0</v>
      </c>
      <c r="AY26" s="54">
        <f>SUM(FS!F26)</f>
        <v>0</v>
      </c>
      <c r="AZ26" s="54">
        <f>SUM(IT!F26)</f>
        <v>0</v>
      </c>
      <c r="BA26" s="80"/>
      <c r="BB26" s="60">
        <f t="shared" si="1"/>
        <v>0</v>
      </c>
      <c r="BD26" s="101"/>
      <c r="BE26" s="288">
        <f>SUM(Sheet1!K26)</f>
        <v>0</v>
      </c>
    </row>
    <row r="27" spans="1:57" ht="12">
      <c r="A27" s="31" t="s">
        <v>204</v>
      </c>
      <c r="B27" s="31" t="s">
        <v>284</v>
      </c>
      <c r="C27" s="47"/>
      <c r="D27" s="47">
        <f t="shared" si="2"/>
        <v>0</v>
      </c>
      <c r="E27" s="64">
        <f t="shared" si="0"/>
        <v>0</v>
      </c>
      <c r="F27" s="47">
        <f t="shared" si="3"/>
        <v>0</v>
      </c>
      <c r="G27" s="47"/>
      <c r="H27" s="47"/>
      <c r="I27" s="71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67"/>
      <c r="AP27" s="54">
        <f>SUM('AC-SVC'!C27)*AP$7</f>
        <v>0</v>
      </c>
      <c r="AQ27" s="54">
        <f>SUM('AC-SVC'!D27)</f>
        <v>0</v>
      </c>
      <c r="AR27" s="54">
        <f>SUM('AC-SVC'!G27)</f>
        <v>0</v>
      </c>
      <c r="AS27" s="54">
        <f>SUM('AC-SVC'!J27)</f>
        <v>0</v>
      </c>
      <c r="AT27" s="54">
        <f>SUM('AC-SVC'!O27)</f>
        <v>0</v>
      </c>
      <c r="AU27" s="54">
        <f>SUM('AC-SVC'!P27)*AU$7</f>
        <v>0</v>
      </c>
      <c r="AV27" s="54">
        <f>SUM(PT!E27)</f>
        <v>0</v>
      </c>
      <c r="AW27" s="54">
        <f>SUM(FC!F27)</f>
        <v>0</v>
      </c>
      <c r="AX27" s="54">
        <v>0</v>
      </c>
      <c r="AY27" s="54">
        <f>SUM(FS!F27)</f>
        <v>0</v>
      </c>
      <c r="AZ27" s="54">
        <f>SUM(IT!F27)</f>
        <v>0</v>
      </c>
      <c r="BA27" s="80"/>
      <c r="BB27" s="60">
        <f t="shared" si="1"/>
        <v>0</v>
      </c>
      <c r="BD27" s="101">
        <v>7249.22</v>
      </c>
      <c r="BE27" s="288">
        <f>SUM(Sheet1!K27)</f>
        <v>7966.3962264150941</v>
      </c>
    </row>
    <row r="28" spans="1:57" ht="12">
      <c r="A28" s="31" t="s">
        <v>205</v>
      </c>
      <c r="B28" s="31" t="s">
        <v>285</v>
      </c>
      <c r="C28" s="47"/>
      <c r="D28" s="47">
        <f t="shared" si="2"/>
        <v>0</v>
      </c>
      <c r="E28" s="64">
        <f t="shared" si="0"/>
        <v>0</v>
      </c>
      <c r="F28" s="47">
        <f t="shared" si="3"/>
        <v>0</v>
      </c>
      <c r="G28" s="47"/>
      <c r="H28" s="47"/>
      <c r="I28" s="7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67"/>
      <c r="AP28" s="54">
        <f>SUM('AC-SVC'!C28)*AP$7</f>
        <v>0</v>
      </c>
      <c r="AQ28" s="54">
        <f>SUM('AC-SVC'!D28)</f>
        <v>0</v>
      </c>
      <c r="AR28" s="54">
        <f>SUM('AC-SVC'!G28)</f>
        <v>0</v>
      </c>
      <c r="AS28" s="54">
        <f>SUM('AC-SVC'!J28)</f>
        <v>0</v>
      </c>
      <c r="AT28" s="54">
        <f>SUM('AC-SVC'!O28)</f>
        <v>0</v>
      </c>
      <c r="AU28" s="54">
        <f>SUM('AC-SVC'!P28)*AU$7</f>
        <v>0</v>
      </c>
      <c r="AV28" s="54">
        <f>SUM(PT!E28)</f>
        <v>0</v>
      </c>
      <c r="AW28" s="54">
        <f>SUM(FC!F28)</f>
        <v>0</v>
      </c>
      <c r="AX28" s="54">
        <v>0</v>
      </c>
      <c r="AY28" s="54">
        <f>SUM(FS!F28)</f>
        <v>0</v>
      </c>
      <c r="AZ28" s="54">
        <f>SUM(IT!F28)</f>
        <v>0</v>
      </c>
      <c r="BA28" s="80"/>
      <c r="BB28" s="60">
        <f t="shared" si="1"/>
        <v>0</v>
      </c>
      <c r="BD28" s="101">
        <v>1237.5</v>
      </c>
      <c r="BE28" s="288">
        <f>SUM(Sheet1!K28)</f>
        <v>1790.0943396226417</v>
      </c>
    </row>
    <row r="29" spans="1:57" ht="12">
      <c r="A29" s="31" t="s">
        <v>206</v>
      </c>
      <c r="B29" s="31" t="s">
        <v>286</v>
      </c>
      <c r="C29" s="47"/>
      <c r="D29" s="47">
        <f t="shared" si="2"/>
        <v>0</v>
      </c>
      <c r="E29" s="64">
        <f t="shared" si="0"/>
        <v>0</v>
      </c>
      <c r="F29" s="47">
        <f t="shared" si="3"/>
        <v>0</v>
      </c>
      <c r="G29" s="47"/>
      <c r="H29" s="47"/>
      <c r="I29" s="71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67"/>
      <c r="AP29" s="54">
        <f>SUM('AC-SVC'!C29)*AP$7</f>
        <v>0</v>
      </c>
      <c r="AQ29" s="54">
        <f>SUM('AC-SVC'!D29)</f>
        <v>0</v>
      </c>
      <c r="AR29" s="54">
        <f>SUM('AC-SVC'!G29)</f>
        <v>0</v>
      </c>
      <c r="AS29" s="54">
        <f>SUM('AC-SVC'!J29)</f>
        <v>0</v>
      </c>
      <c r="AT29" s="54">
        <f>SUM('AC-SVC'!O29)</f>
        <v>300</v>
      </c>
      <c r="AU29" s="54">
        <f>SUM('AC-SVC'!P29)*AU$7</f>
        <v>0</v>
      </c>
      <c r="AV29" s="54">
        <f>SUM(PT!E29)</f>
        <v>0</v>
      </c>
      <c r="AW29" s="54">
        <f>SUM(FC!F29)</f>
        <v>0</v>
      </c>
      <c r="AX29" s="54">
        <v>0</v>
      </c>
      <c r="AY29" s="54">
        <f>SUM(FS!F29)</f>
        <v>0</v>
      </c>
      <c r="AZ29" s="54">
        <f>SUM(IT!F29)</f>
        <v>0</v>
      </c>
      <c r="BA29" s="80"/>
      <c r="BB29" s="60">
        <f t="shared" si="1"/>
        <v>300</v>
      </c>
      <c r="BD29" s="101"/>
      <c r="BE29" s="288">
        <f>SUM(Sheet1!K29)</f>
        <v>0</v>
      </c>
    </row>
    <row r="30" spans="1:57" ht="12">
      <c r="A30" s="31" t="s">
        <v>208</v>
      </c>
      <c r="B30" s="31" t="s">
        <v>287</v>
      </c>
      <c r="C30" s="47"/>
      <c r="D30" s="47">
        <f t="shared" si="2"/>
        <v>0</v>
      </c>
      <c r="E30" s="64">
        <f t="shared" si="0"/>
        <v>0</v>
      </c>
      <c r="F30" s="47">
        <f t="shared" si="3"/>
        <v>0</v>
      </c>
      <c r="G30" s="47"/>
      <c r="H30" s="47"/>
      <c r="I30" s="7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67"/>
      <c r="AP30" s="54">
        <f>SUM('AC-SVC'!C30)*AP$7</f>
        <v>0</v>
      </c>
      <c r="AQ30" s="54">
        <f>SUM('AC-SVC'!D30)</f>
        <v>0</v>
      </c>
      <c r="AR30" s="54">
        <f>SUM('AC-SVC'!G30)</f>
        <v>0</v>
      </c>
      <c r="AS30" s="54">
        <f>SUM('AC-SVC'!J30)</f>
        <v>0</v>
      </c>
      <c r="AT30" s="54">
        <f>SUM('AC-SVC'!O30)</f>
        <v>0</v>
      </c>
      <c r="AU30" s="54">
        <f>SUM('AC-SVC'!P30)*AU$7</f>
        <v>0</v>
      </c>
      <c r="AV30" s="54">
        <f>SUM(PT!E30)</f>
        <v>0</v>
      </c>
      <c r="AW30" s="54">
        <f>SUM(FC!F30)</f>
        <v>0</v>
      </c>
      <c r="AX30" s="54">
        <v>0</v>
      </c>
      <c r="AY30" s="54">
        <f>SUM(FS!F30)</f>
        <v>0</v>
      </c>
      <c r="AZ30" s="54">
        <f>SUM(IT!F30)</f>
        <v>0</v>
      </c>
      <c r="BA30" s="80"/>
      <c r="BB30" s="60">
        <f t="shared" si="1"/>
        <v>0</v>
      </c>
      <c r="BD30" s="101"/>
      <c r="BE30" s="288">
        <f>SUM(Sheet1!K30)</f>
        <v>0</v>
      </c>
    </row>
    <row r="31" spans="1:57" ht="12">
      <c r="A31" s="31" t="s">
        <v>207</v>
      </c>
      <c r="B31" s="31" t="s">
        <v>288</v>
      </c>
      <c r="C31" s="47"/>
      <c r="D31" s="47">
        <f t="shared" si="2"/>
        <v>0</v>
      </c>
      <c r="E31" s="64">
        <f t="shared" si="0"/>
        <v>0</v>
      </c>
      <c r="F31" s="47">
        <f t="shared" si="3"/>
        <v>0</v>
      </c>
      <c r="G31" s="47"/>
      <c r="H31" s="47"/>
      <c r="I31" s="7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67"/>
      <c r="AP31" s="54">
        <f>SUM('AC-SVC'!C31)*AP$7</f>
        <v>0</v>
      </c>
      <c r="AQ31" s="54">
        <f>SUM('AC-SVC'!D31)</f>
        <v>0</v>
      </c>
      <c r="AR31" s="54">
        <f>SUM('AC-SVC'!G31)</f>
        <v>0</v>
      </c>
      <c r="AS31" s="54">
        <f>SUM('AC-SVC'!J31)</f>
        <v>0</v>
      </c>
      <c r="AT31" s="54">
        <f>SUM('AC-SVC'!O31)</f>
        <v>0</v>
      </c>
      <c r="AU31" s="54">
        <f>SUM('AC-SVC'!P31)*AU$7</f>
        <v>0</v>
      </c>
      <c r="AV31" s="54">
        <f>SUM(PT!E31)</f>
        <v>0</v>
      </c>
      <c r="AW31" s="54">
        <f>SUM(FC!F31)</f>
        <v>0</v>
      </c>
      <c r="AX31" s="54">
        <v>0</v>
      </c>
      <c r="AY31" s="54">
        <f>SUM(FS!F31)</f>
        <v>0</v>
      </c>
      <c r="AZ31" s="54">
        <f>SUM(IT!F31)</f>
        <v>0</v>
      </c>
      <c r="BA31" s="80"/>
      <c r="BB31" s="60">
        <f t="shared" si="1"/>
        <v>0</v>
      </c>
      <c r="BD31" s="101"/>
      <c r="BE31" s="288">
        <f>SUM(Sheet1!K31)</f>
        <v>1.867924528301887</v>
      </c>
    </row>
    <row r="32" spans="1:57" ht="12">
      <c r="A32" s="31" t="s">
        <v>209</v>
      </c>
      <c r="B32" s="31" t="s">
        <v>210</v>
      </c>
      <c r="C32" s="47"/>
      <c r="D32" s="47">
        <f t="shared" si="2"/>
        <v>0</v>
      </c>
      <c r="E32" s="64">
        <f t="shared" si="0"/>
        <v>0</v>
      </c>
      <c r="F32" s="47">
        <f t="shared" si="3"/>
        <v>0</v>
      </c>
      <c r="G32" s="47"/>
      <c r="H32" s="47"/>
      <c r="I32" s="7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67"/>
      <c r="AP32" s="54">
        <f>SUM('AC-SVC'!C32)*AP$7</f>
        <v>0</v>
      </c>
      <c r="AQ32" s="54">
        <f>SUM('AC-SVC'!D32)</f>
        <v>0</v>
      </c>
      <c r="AR32" s="54">
        <f>SUM('AC-SVC'!G32)</f>
        <v>0</v>
      </c>
      <c r="AS32" s="54">
        <f>SUM('AC-SVC'!J32)</f>
        <v>0</v>
      </c>
      <c r="AT32" s="54">
        <f>SUM('AC-SVC'!O32)</f>
        <v>0</v>
      </c>
      <c r="AU32" s="54">
        <f>SUM('AC-SVC'!P32)*AU$7</f>
        <v>0</v>
      </c>
      <c r="AV32" s="54">
        <f>SUM(PT!E32)</f>
        <v>0</v>
      </c>
      <c r="AW32" s="54">
        <f>SUM(FC!F32)</f>
        <v>0</v>
      </c>
      <c r="AX32" s="54">
        <v>0</v>
      </c>
      <c r="AY32" s="54">
        <f>SUM(FS!F32)</f>
        <v>0</v>
      </c>
      <c r="AZ32" s="54">
        <f>SUM(IT!F32)</f>
        <v>0</v>
      </c>
      <c r="BA32" s="80"/>
      <c r="BB32" s="60">
        <f t="shared" si="1"/>
        <v>0</v>
      </c>
      <c r="BD32" s="101"/>
      <c r="BE32" s="288">
        <f>SUM(Sheet1!K32)</f>
        <v>0</v>
      </c>
    </row>
    <row r="33" spans="1:57" ht="12">
      <c r="A33" s="31" t="s">
        <v>213</v>
      </c>
      <c r="B33" s="31" t="s">
        <v>214</v>
      </c>
      <c r="C33" s="47">
        <v>25000</v>
      </c>
      <c r="D33" s="47">
        <f t="shared" si="2"/>
        <v>0</v>
      </c>
      <c r="E33" s="64">
        <f t="shared" si="0"/>
        <v>0</v>
      </c>
      <c r="F33" s="47">
        <f t="shared" si="3"/>
        <v>0</v>
      </c>
      <c r="G33" s="47"/>
      <c r="H33" s="47"/>
      <c r="I33" s="7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67"/>
      <c r="AP33" s="54">
        <f>SUM('AC-SVC'!C33)*AP$7</f>
        <v>0</v>
      </c>
      <c r="AQ33" s="54">
        <f>SUM('AC-SVC'!D33)</f>
        <v>0</v>
      </c>
      <c r="AR33" s="54">
        <f>SUM('AC-SVC'!G33)</f>
        <v>0</v>
      </c>
      <c r="AS33" s="54">
        <f>SUM('AC-SVC'!J33)</f>
        <v>0</v>
      </c>
      <c r="AT33" s="54">
        <f>SUM('AC-SVC'!O33)</f>
        <v>0</v>
      </c>
      <c r="AU33" s="54">
        <f>SUM('AC-SVC'!P33)*AU$7</f>
        <v>0</v>
      </c>
      <c r="AV33" s="54">
        <f>SUM(PT!E33)</f>
        <v>0</v>
      </c>
      <c r="AW33" s="54">
        <f>SUM(FC!F33)</f>
        <v>0</v>
      </c>
      <c r="AX33" s="54">
        <v>0</v>
      </c>
      <c r="AY33" s="54">
        <f>SUM(FS!F33)</f>
        <v>0</v>
      </c>
      <c r="AZ33" s="54">
        <f>SUM(IT!F33)</f>
        <v>0</v>
      </c>
      <c r="BA33" s="80"/>
      <c r="BB33" s="60">
        <f t="shared" si="1"/>
        <v>25000</v>
      </c>
      <c r="BD33" s="101"/>
      <c r="BE33" s="288">
        <f>SUM(Sheet1!K33)</f>
        <v>0</v>
      </c>
    </row>
    <row r="34" spans="1:57" ht="12">
      <c r="A34" s="31" t="s">
        <v>212</v>
      </c>
      <c r="B34" s="31" t="s">
        <v>289</v>
      </c>
      <c r="C34" s="47"/>
      <c r="D34" s="47">
        <f t="shared" si="2"/>
        <v>0</v>
      </c>
      <c r="E34" s="64">
        <f t="shared" si="0"/>
        <v>0</v>
      </c>
      <c r="F34" s="47">
        <f t="shared" si="3"/>
        <v>0</v>
      </c>
      <c r="G34" s="47"/>
      <c r="H34" s="47"/>
      <c r="I34" s="7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67"/>
      <c r="AP34" s="54">
        <f>SUM('AC-SVC'!C34)*AP$7</f>
        <v>0</v>
      </c>
      <c r="AQ34" s="54">
        <f>SUM('AC-SVC'!D34)</f>
        <v>0</v>
      </c>
      <c r="AR34" s="54">
        <f>SUM('AC-SVC'!G34)</f>
        <v>0</v>
      </c>
      <c r="AS34" s="54">
        <f>SUM('AC-SVC'!J34)</f>
        <v>0</v>
      </c>
      <c r="AT34" s="54">
        <f>SUM('AC-SVC'!O34)</f>
        <v>0</v>
      </c>
      <c r="AU34" s="54">
        <f>SUM('AC-SVC'!P34)*AU$7</f>
        <v>0</v>
      </c>
      <c r="AV34" s="54">
        <f>SUM(PT!E34)</f>
        <v>0</v>
      </c>
      <c r="AW34" s="54">
        <f>SUM(FC!F34)</f>
        <v>0</v>
      </c>
      <c r="AX34" s="54">
        <v>0</v>
      </c>
      <c r="AY34" s="54">
        <f>SUM(FS!F34)</f>
        <v>0</v>
      </c>
      <c r="AZ34" s="54">
        <f>SUM(IT!F34)</f>
        <v>0</v>
      </c>
      <c r="BA34" s="80"/>
      <c r="BB34" s="60">
        <f t="shared" si="1"/>
        <v>0</v>
      </c>
      <c r="BD34" s="101"/>
      <c r="BE34" s="288">
        <f>SUM(Sheet1!K34)</f>
        <v>0</v>
      </c>
    </row>
    <row r="35" spans="1:57" ht="12">
      <c r="A35" s="31" t="s">
        <v>211</v>
      </c>
      <c r="B35" s="31" t="s">
        <v>290</v>
      </c>
      <c r="C35" s="47">
        <v>100000</v>
      </c>
      <c r="D35" s="47">
        <f t="shared" si="2"/>
        <v>0</v>
      </c>
      <c r="E35" s="64">
        <f t="shared" si="0"/>
        <v>0</v>
      </c>
      <c r="F35" s="47">
        <f t="shared" si="3"/>
        <v>0</v>
      </c>
      <c r="G35" s="47"/>
      <c r="H35" s="47"/>
      <c r="I35" s="71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67"/>
      <c r="AP35" s="54">
        <f>SUM('AC-SVC'!C35)*AP$7</f>
        <v>0</v>
      </c>
      <c r="AQ35" s="54">
        <f>SUM('AC-SVC'!D35)</f>
        <v>0</v>
      </c>
      <c r="AR35" s="54">
        <f>SUM('AC-SVC'!G35)</f>
        <v>0</v>
      </c>
      <c r="AS35" s="54">
        <f>SUM('AC-SVC'!J35)</f>
        <v>0</v>
      </c>
      <c r="AT35" s="54">
        <f>SUM('AC-SVC'!O35)</f>
        <v>0</v>
      </c>
      <c r="AU35" s="54">
        <f>SUM('AC-SVC'!P35)*AU$7</f>
        <v>0</v>
      </c>
      <c r="AV35" s="54">
        <f>SUM(PT!E35)</f>
        <v>0</v>
      </c>
      <c r="AW35" s="54">
        <f>SUM(FC!F35)</f>
        <v>0</v>
      </c>
      <c r="AX35" s="54">
        <v>0</v>
      </c>
      <c r="AY35" s="54">
        <f>SUM(FS!F35)</f>
        <v>0</v>
      </c>
      <c r="AZ35" s="54">
        <f>SUM(IT!F35)</f>
        <v>0</v>
      </c>
      <c r="BA35" s="80"/>
      <c r="BB35" s="60">
        <f t="shared" si="1"/>
        <v>100000</v>
      </c>
      <c r="BD35" s="101"/>
      <c r="BE35" s="288">
        <f>SUM(Sheet1!K35)</f>
        <v>1105.6075471698114</v>
      </c>
    </row>
    <row r="36" spans="1:57" ht="12">
      <c r="A36" s="31" t="s">
        <v>215</v>
      </c>
      <c r="B36" s="31" t="s">
        <v>291</v>
      </c>
      <c r="C36" s="47"/>
      <c r="D36" s="47">
        <f t="shared" si="2"/>
        <v>0</v>
      </c>
      <c r="E36" s="64">
        <f t="shared" si="0"/>
        <v>0</v>
      </c>
      <c r="F36" s="47">
        <f t="shared" si="3"/>
        <v>0</v>
      </c>
      <c r="G36" s="47"/>
      <c r="H36" s="47"/>
      <c r="I36" s="7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67"/>
      <c r="AP36" s="54">
        <f>SUM('AC-SVC'!C36)*AP$7</f>
        <v>0</v>
      </c>
      <c r="AQ36" s="54">
        <f>SUM('AC-SVC'!D36)</f>
        <v>0</v>
      </c>
      <c r="AR36" s="54">
        <f>SUM('AC-SVC'!G36)</f>
        <v>0</v>
      </c>
      <c r="AS36" s="54">
        <f>SUM('AC-SVC'!J36)</f>
        <v>0</v>
      </c>
      <c r="AT36" s="54">
        <f>SUM('AC-SVC'!O36)</f>
        <v>0</v>
      </c>
      <c r="AU36" s="54">
        <f>SUM('AC-SVC'!P36)*AU$7</f>
        <v>0</v>
      </c>
      <c r="AV36" s="54">
        <f>SUM(PT!E36)</f>
        <v>0</v>
      </c>
      <c r="AW36" s="54">
        <f>SUM(FC!F36)</f>
        <v>0</v>
      </c>
      <c r="AX36" s="54">
        <v>0</v>
      </c>
      <c r="AY36" s="54">
        <f>SUM(FS!F36)</f>
        <v>0</v>
      </c>
      <c r="AZ36" s="54">
        <f>SUM(IT!F36)</f>
        <v>0</v>
      </c>
      <c r="BA36" s="80"/>
      <c r="BB36" s="60">
        <f t="shared" si="1"/>
        <v>0</v>
      </c>
      <c r="BD36" s="101"/>
      <c r="BE36" s="288">
        <f>SUM(Sheet1!K36)</f>
        <v>0</v>
      </c>
    </row>
    <row r="37" spans="1:57" ht="12">
      <c r="A37" s="31" t="s">
        <v>216</v>
      </c>
      <c r="B37" s="31" t="s">
        <v>292</v>
      </c>
      <c r="C37" s="48"/>
      <c r="D37" s="48">
        <f t="shared" si="2"/>
        <v>0</v>
      </c>
      <c r="E37" s="48">
        <f t="shared" si="0"/>
        <v>0</v>
      </c>
      <c r="F37" s="48">
        <f t="shared" si="3"/>
        <v>0</v>
      </c>
      <c r="G37" s="48"/>
      <c r="H37" s="48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67"/>
      <c r="AP37" s="39">
        <f>SUM('AC-SVC'!C37)*AP$7</f>
        <v>0</v>
      </c>
      <c r="AQ37" s="39">
        <f>SUM('AC-SVC'!D37)</f>
        <v>0</v>
      </c>
      <c r="AR37" s="39">
        <f>SUM('AC-SVC'!G37)</f>
        <v>0</v>
      </c>
      <c r="AS37" s="39">
        <f>SUM('AC-SVC'!J37)</f>
        <v>0</v>
      </c>
      <c r="AT37" s="39">
        <f>SUM('AC-SVC'!O37)</f>
        <v>0</v>
      </c>
      <c r="AU37" s="39">
        <f>SUM('AC-SVC'!P37)*AU$7</f>
        <v>0</v>
      </c>
      <c r="AV37" s="39">
        <f>SUM(PT!E37)</f>
        <v>0</v>
      </c>
      <c r="AW37" s="39">
        <f>SUM(FC!F37)</f>
        <v>0</v>
      </c>
      <c r="AX37" s="39">
        <v>0</v>
      </c>
      <c r="AY37" s="39">
        <f>SUM(FS!F37)</f>
        <v>0</v>
      </c>
      <c r="AZ37" s="39">
        <f>SUM(IT!F37)</f>
        <v>0</v>
      </c>
      <c r="BA37" s="73"/>
      <c r="BB37" s="59">
        <f t="shared" si="1"/>
        <v>0</v>
      </c>
      <c r="BD37" s="102"/>
      <c r="BE37" s="288">
        <f>SUM(Sheet1!K37)</f>
        <v>0</v>
      </c>
    </row>
    <row r="38" spans="1:57" ht="10">
      <c r="B38" s="31" t="s">
        <v>293</v>
      </c>
      <c r="C38" s="47">
        <f>SUM(C13:C37)</f>
        <v>411000</v>
      </c>
      <c r="D38" s="47">
        <f t="shared" ref="D38:H38" si="4">SUM(D13:D37)</f>
        <v>0</v>
      </c>
      <c r="E38" s="47">
        <f t="shared" si="4"/>
        <v>0</v>
      </c>
      <c r="F38" s="47">
        <f t="shared" si="4"/>
        <v>0</v>
      </c>
      <c r="G38" s="47">
        <f t="shared" si="4"/>
        <v>0</v>
      </c>
      <c r="H38" s="47">
        <f t="shared" si="4"/>
        <v>0</v>
      </c>
      <c r="I38" s="71"/>
      <c r="J38" s="47">
        <f t="shared" ref="J38:AN38" si="5">SUM(J13:J37)</f>
        <v>0</v>
      </c>
      <c r="K38" s="47">
        <f t="shared" si="5"/>
        <v>0</v>
      </c>
      <c r="L38" s="47">
        <f t="shared" si="5"/>
        <v>0</v>
      </c>
      <c r="M38" s="47">
        <f t="shared" si="5"/>
        <v>0</v>
      </c>
      <c r="N38" s="47"/>
      <c r="O38" s="47">
        <f t="shared" si="5"/>
        <v>0</v>
      </c>
      <c r="P38" s="47">
        <f t="shared" ref="P38" si="6">SUM(P13:P37)</f>
        <v>0</v>
      </c>
      <c r="Q38" s="47">
        <f t="shared" si="5"/>
        <v>0</v>
      </c>
      <c r="R38" s="47">
        <f t="shared" si="5"/>
        <v>0</v>
      </c>
      <c r="S38" s="47">
        <f t="shared" si="5"/>
        <v>0</v>
      </c>
      <c r="T38" s="47">
        <f t="shared" ref="T38:U38" si="7">SUM(T13:T37)</f>
        <v>0</v>
      </c>
      <c r="U38" s="47">
        <f t="shared" si="7"/>
        <v>0</v>
      </c>
      <c r="V38" s="47">
        <f t="shared" si="5"/>
        <v>0</v>
      </c>
      <c r="W38" s="47">
        <f t="shared" si="5"/>
        <v>0</v>
      </c>
      <c r="X38" s="47">
        <f t="shared" si="5"/>
        <v>0</v>
      </c>
      <c r="Y38" s="47">
        <f t="shared" si="5"/>
        <v>0</v>
      </c>
      <c r="Z38" s="47">
        <f t="shared" si="5"/>
        <v>0</v>
      </c>
      <c r="AA38" s="47">
        <f t="shared" si="5"/>
        <v>0</v>
      </c>
      <c r="AB38" s="47">
        <f t="shared" si="5"/>
        <v>0</v>
      </c>
      <c r="AC38" s="47">
        <f t="shared" si="5"/>
        <v>0</v>
      </c>
      <c r="AD38" s="47">
        <f t="shared" si="5"/>
        <v>0</v>
      </c>
      <c r="AE38" s="47">
        <f t="shared" si="5"/>
        <v>0</v>
      </c>
      <c r="AF38" s="47">
        <f t="shared" si="5"/>
        <v>0</v>
      </c>
      <c r="AG38" s="47">
        <f t="shared" si="5"/>
        <v>0</v>
      </c>
      <c r="AH38" s="47">
        <f t="shared" si="5"/>
        <v>0</v>
      </c>
      <c r="AI38" s="47">
        <f t="shared" si="5"/>
        <v>0</v>
      </c>
      <c r="AJ38" s="47">
        <f t="shared" si="5"/>
        <v>0</v>
      </c>
      <c r="AK38" s="47">
        <f t="shared" si="5"/>
        <v>0</v>
      </c>
      <c r="AL38" s="47">
        <f t="shared" si="5"/>
        <v>0</v>
      </c>
      <c r="AM38" s="47">
        <f t="shared" ref="AM38" si="8">SUM(AM13:AM37)</f>
        <v>0</v>
      </c>
      <c r="AN38" s="47">
        <f t="shared" si="5"/>
        <v>0</v>
      </c>
      <c r="AO38" s="67"/>
      <c r="AP38" s="38">
        <f t="shared" ref="AP38:AT38" si="9">+SUM(AP13:AP37)</f>
        <v>0</v>
      </c>
      <c r="AQ38" s="47">
        <f t="shared" si="9"/>
        <v>0</v>
      </c>
      <c r="AR38" s="38">
        <f t="shared" si="9"/>
        <v>0</v>
      </c>
      <c r="AS38" s="38">
        <f t="shared" si="9"/>
        <v>0</v>
      </c>
      <c r="AT38" s="38">
        <f t="shared" si="9"/>
        <v>800</v>
      </c>
      <c r="AU38" s="38">
        <f t="shared" ref="AU38" si="10">+SUM(AU13:AU37)</f>
        <v>0</v>
      </c>
      <c r="AV38" s="38">
        <f>+SUM(AV13:AV37)</f>
        <v>33750</v>
      </c>
      <c r="AW38" s="38">
        <f>+SUM(AW13:AW37)</f>
        <v>0</v>
      </c>
      <c r="AX38" s="38">
        <f t="shared" ref="AX38" si="11">+SUM(AX13:AX37)</f>
        <v>0</v>
      </c>
      <c r="AY38" s="38">
        <f>+SUM(AY13:AY37)</f>
        <v>64000</v>
      </c>
      <c r="AZ38" s="38">
        <f t="shared" ref="AZ38" si="12">+SUM(AZ13:AZ37)</f>
        <v>0</v>
      </c>
      <c r="BA38" s="71"/>
      <c r="BB38" s="40">
        <f>SUM(BB13:BB37)</f>
        <v>509550</v>
      </c>
      <c r="BD38" s="100">
        <f>SUM(BD13:BD37)</f>
        <v>135701.45000000001</v>
      </c>
      <c r="BE38" s="293">
        <f>SUM(BE13:BE37)</f>
        <v>266263.43773584906</v>
      </c>
    </row>
    <row r="39" spans="1:57">
      <c r="C39" s="47"/>
      <c r="D39" s="47"/>
      <c r="E39" s="47"/>
      <c r="F39" s="47"/>
      <c r="G39" s="47"/>
      <c r="H39" s="47"/>
      <c r="I39" s="71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67"/>
      <c r="AP39" s="38"/>
      <c r="AQ39" s="47"/>
      <c r="AR39" s="38"/>
      <c r="AS39" s="38"/>
      <c r="AT39" s="38"/>
      <c r="AU39" s="38"/>
      <c r="AV39" s="38"/>
      <c r="AW39" s="38"/>
      <c r="AX39" s="38"/>
      <c r="AY39" s="38"/>
      <c r="AZ39" s="38"/>
      <c r="BA39" s="71"/>
      <c r="BB39" s="50"/>
      <c r="BD39" s="100"/>
      <c r="BE39" s="290"/>
    </row>
    <row r="40" spans="1:57">
      <c r="A40" s="31" t="s">
        <v>294</v>
      </c>
      <c r="C40" s="47"/>
      <c r="D40" s="47"/>
      <c r="E40" s="47"/>
      <c r="F40" s="47"/>
      <c r="G40" s="47"/>
      <c r="H40" s="47"/>
      <c r="I40" s="71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67"/>
      <c r="AP40" s="38"/>
      <c r="AQ40" s="47"/>
      <c r="AR40" s="38"/>
      <c r="AS40" s="38"/>
      <c r="AT40" s="38"/>
      <c r="AU40" s="38"/>
      <c r="AV40" s="38"/>
      <c r="AW40" s="38"/>
      <c r="AX40" s="38"/>
      <c r="AY40" s="38"/>
      <c r="AZ40" s="38"/>
      <c r="BA40" s="71"/>
      <c r="BB40" s="50"/>
      <c r="BD40" s="100"/>
      <c r="BE40" s="290"/>
    </row>
    <row r="41" spans="1:57" ht="12">
      <c r="A41" s="31" t="s">
        <v>217</v>
      </c>
      <c r="B41" s="31" t="s">
        <v>295</v>
      </c>
      <c r="C41" s="47">
        <f>SUM(SUM!B7*SUM!I2)</f>
        <v>3854400</v>
      </c>
      <c r="D41" s="47">
        <f t="shared" ref="D41:D48" si="13">SUM(J41:M41)</f>
        <v>0</v>
      </c>
      <c r="E41" s="64">
        <f t="shared" ref="E41:E48" si="14">SUM(O41:AI41)</f>
        <v>0</v>
      </c>
      <c r="F41" s="64">
        <f t="shared" ref="F41:F48" si="15">SUM(AJ41:AN41)</f>
        <v>0</v>
      </c>
      <c r="G41" s="47"/>
      <c r="H41" s="47"/>
      <c r="I41" s="71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67"/>
      <c r="AP41" s="54">
        <f>SUM('AC-SVC'!C41)*AP$7</f>
        <v>0</v>
      </c>
      <c r="AQ41" s="54">
        <f>SUM('AC-SVC'!D41)</f>
        <v>0</v>
      </c>
      <c r="AR41" s="54">
        <f>SUM('AC-SVC'!G41)</f>
        <v>0</v>
      </c>
      <c r="AS41" s="54">
        <f>SUM('AC-SVC'!J41)</f>
        <v>0</v>
      </c>
      <c r="AT41" s="54">
        <f>SUM('AC-SVC'!O41)</f>
        <v>0</v>
      </c>
      <c r="AU41" s="54">
        <f>SUM('AC-SVC'!P41)*AU$7</f>
        <v>0</v>
      </c>
      <c r="AV41" s="54">
        <f>SUM(PT!E41)</f>
        <v>0</v>
      </c>
      <c r="AW41" s="54">
        <f>SUM(FC!F41)</f>
        <v>0</v>
      </c>
      <c r="AX41" s="54">
        <v>0</v>
      </c>
      <c r="AY41" s="54">
        <f>SUM(FS!F41)</f>
        <v>0</v>
      </c>
      <c r="AZ41" s="54">
        <f>SUM(IT!F41)</f>
        <v>0</v>
      </c>
      <c r="BA41" s="80"/>
      <c r="BB41" s="60">
        <f t="shared" ref="BB41:BB48" si="16">SUM(C41:H41)+SUM(AP41:AZ41)</f>
        <v>3854400</v>
      </c>
      <c r="BD41" s="101">
        <v>3038580</v>
      </c>
      <c r="BE41" s="288">
        <f>SUM(Sheet1!K41)</f>
        <v>3576678.113207547</v>
      </c>
    </row>
    <row r="42" spans="1:57" ht="12">
      <c r="A42" s="31" t="s">
        <v>218</v>
      </c>
      <c r="B42" s="31" t="s">
        <v>219</v>
      </c>
      <c r="C42" s="47">
        <f>6000*6</f>
        <v>36000</v>
      </c>
      <c r="D42" s="47">
        <f t="shared" si="13"/>
        <v>0</v>
      </c>
      <c r="E42" s="64">
        <f t="shared" si="14"/>
        <v>0</v>
      </c>
      <c r="F42" s="64">
        <f t="shared" si="15"/>
        <v>0</v>
      </c>
      <c r="G42" s="47"/>
      <c r="H42" s="47"/>
      <c r="I42" s="71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67"/>
      <c r="AP42" s="54">
        <f>SUM('AC-SVC'!C42)*AP$7</f>
        <v>0</v>
      </c>
      <c r="AQ42" s="54">
        <f>SUM('AC-SVC'!D42)</f>
        <v>0</v>
      </c>
      <c r="AR42" s="54">
        <f>SUM('AC-SVC'!G42)</f>
        <v>0</v>
      </c>
      <c r="AS42" s="54">
        <f>SUM('AC-SVC'!J42)</f>
        <v>0</v>
      </c>
      <c r="AT42" s="54">
        <f>SUM('AC-SVC'!O42)</f>
        <v>0</v>
      </c>
      <c r="AU42" s="54">
        <f>SUM('AC-SVC'!P42)*AU$7</f>
        <v>0</v>
      </c>
      <c r="AV42" s="54">
        <f>SUM(PT!E42)</f>
        <v>0</v>
      </c>
      <c r="AW42" s="54">
        <f>SUM(FC!F42)</f>
        <v>0</v>
      </c>
      <c r="AX42" s="54">
        <v>0</v>
      </c>
      <c r="AY42" s="54">
        <f>SUM(FS!F42)</f>
        <v>0</v>
      </c>
      <c r="AZ42" s="54">
        <f>SUM(IT!F42)</f>
        <v>0</v>
      </c>
      <c r="BA42" s="80"/>
      <c r="BB42" s="60">
        <f t="shared" si="16"/>
        <v>36000</v>
      </c>
      <c r="BD42" s="101">
        <v>13652.88</v>
      </c>
      <c r="BE42" s="288">
        <f>SUM(Sheet1!K42)</f>
        <v>47402.479245283022</v>
      </c>
    </row>
    <row r="43" spans="1:57" ht="12">
      <c r="A43" s="31" t="s">
        <v>220</v>
      </c>
      <c r="B43" s="31" t="s">
        <v>221</v>
      </c>
      <c r="C43" s="47"/>
      <c r="D43" s="47">
        <f t="shared" si="13"/>
        <v>0</v>
      </c>
      <c r="E43" s="64">
        <f t="shared" si="14"/>
        <v>0</v>
      </c>
      <c r="F43" s="64">
        <f t="shared" si="15"/>
        <v>0</v>
      </c>
      <c r="G43" s="47"/>
      <c r="H43" s="47"/>
      <c r="I43" s="71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67"/>
      <c r="AP43" s="54">
        <f>SUM('AC-SVC'!C43)*AP$7</f>
        <v>0</v>
      </c>
      <c r="AQ43" s="54">
        <f>SUM('AC-SVC'!D43)</f>
        <v>0</v>
      </c>
      <c r="AR43" s="54">
        <f>SUM('AC-SVC'!G43)</f>
        <v>0</v>
      </c>
      <c r="AS43" s="54">
        <f>SUM('AC-SVC'!J43)</f>
        <v>0</v>
      </c>
      <c r="AT43" s="54">
        <f>SUM('AC-SVC'!O43)</f>
        <v>0</v>
      </c>
      <c r="AU43" s="54">
        <f>SUM('AC-SVC'!P43)*AU$7</f>
        <v>0</v>
      </c>
      <c r="AV43" s="54">
        <f>SUM(PT!E43)</f>
        <v>0</v>
      </c>
      <c r="AW43" s="54">
        <f>SUM(FC!F43)</f>
        <v>0</v>
      </c>
      <c r="AX43" s="54">
        <v>0</v>
      </c>
      <c r="AY43" s="54">
        <f>SUM(FS!F43)</f>
        <v>0</v>
      </c>
      <c r="AZ43" s="54">
        <f>SUM(IT!F43)</f>
        <v>0</v>
      </c>
      <c r="BA43" s="80"/>
      <c r="BB43" s="60">
        <f t="shared" si="16"/>
        <v>0</v>
      </c>
      <c r="BD43" s="101"/>
      <c r="BE43" s="288">
        <f>SUM(Sheet1!K43)</f>
        <v>0</v>
      </c>
    </row>
    <row r="44" spans="1:57" ht="12">
      <c r="A44" s="31" t="s">
        <v>222</v>
      </c>
      <c r="B44" s="31" t="s">
        <v>296</v>
      </c>
      <c r="C44" s="47"/>
      <c r="D44" s="47">
        <f t="shared" si="13"/>
        <v>0</v>
      </c>
      <c r="E44" s="64">
        <f t="shared" si="14"/>
        <v>0</v>
      </c>
      <c r="F44" s="64">
        <f t="shared" si="15"/>
        <v>0</v>
      </c>
      <c r="G44" s="47"/>
      <c r="H44" s="47"/>
      <c r="I44" s="71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67"/>
      <c r="AP44" s="54">
        <f>SUM('AC-SVC'!C44)*AP$7</f>
        <v>0</v>
      </c>
      <c r="AQ44" s="54">
        <f>SUM('AC-SVC'!D44)</f>
        <v>0</v>
      </c>
      <c r="AR44" s="54">
        <f>SUM('AC-SVC'!G44)</f>
        <v>0</v>
      </c>
      <c r="AS44" s="54">
        <f>SUM('AC-SVC'!J44)</f>
        <v>0</v>
      </c>
      <c r="AT44" s="54">
        <f>SUM('AC-SVC'!O44)</f>
        <v>0</v>
      </c>
      <c r="AU44" s="54">
        <f>SUM('AC-SVC'!P44)*AU$7</f>
        <v>0</v>
      </c>
      <c r="AV44" s="54">
        <f>SUM(PT!E44)</f>
        <v>0</v>
      </c>
      <c r="AW44" s="54">
        <f>SUM(FC!F44)</f>
        <v>0</v>
      </c>
      <c r="AX44" s="54">
        <v>0</v>
      </c>
      <c r="AY44" s="54">
        <f>SUM(FS!F44)</f>
        <v>0</v>
      </c>
      <c r="AZ44" s="54">
        <f>SUM(IT!F44)</f>
        <v>0</v>
      </c>
      <c r="BA44" s="80"/>
      <c r="BB44" s="60">
        <f t="shared" si="16"/>
        <v>0</v>
      </c>
      <c r="BD44" s="101"/>
      <c r="BE44" s="288">
        <f>SUM(Sheet1!K44)</f>
        <v>0</v>
      </c>
    </row>
    <row r="45" spans="1:57" ht="12">
      <c r="A45" s="31" t="s">
        <v>223</v>
      </c>
      <c r="B45" s="31" t="s">
        <v>224</v>
      </c>
      <c r="C45" s="47"/>
      <c r="D45" s="47">
        <f t="shared" si="13"/>
        <v>0</v>
      </c>
      <c r="E45" s="64">
        <f t="shared" si="14"/>
        <v>0</v>
      </c>
      <c r="F45" s="64">
        <f t="shared" si="15"/>
        <v>0</v>
      </c>
      <c r="G45" s="47"/>
      <c r="H45" s="47"/>
      <c r="I45" s="71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67"/>
      <c r="AP45" s="54">
        <f>SUM('AC-SVC'!C45)*AP$7</f>
        <v>0</v>
      </c>
      <c r="AQ45" s="54">
        <f>SUM('AC-SVC'!D45)</f>
        <v>0</v>
      </c>
      <c r="AR45" s="54">
        <f>SUM('AC-SVC'!G45)</f>
        <v>0</v>
      </c>
      <c r="AS45" s="54">
        <f>SUM('AC-SVC'!J45)</f>
        <v>0</v>
      </c>
      <c r="AT45" s="54">
        <f>SUM('AC-SVC'!O45)</f>
        <v>0</v>
      </c>
      <c r="AU45" s="54">
        <f>SUM('AC-SVC'!P45)*AU$7</f>
        <v>0</v>
      </c>
      <c r="AV45" s="54">
        <f>SUM(PT!E45)</f>
        <v>0</v>
      </c>
      <c r="AW45" s="54">
        <f>SUM(FC!F45)</f>
        <v>0</v>
      </c>
      <c r="AX45" s="54">
        <v>0</v>
      </c>
      <c r="AY45" s="54">
        <f>SUM(FS!F45)</f>
        <v>0</v>
      </c>
      <c r="AZ45" s="54">
        <f>SUM(IT!F45)</f>
        <v>0</v>
      </c>
      <c r="BA45" s="80"/>
      <c r="BB45" s="60">
        <f t="shared" si="16"/>
        <v>0</v>
      </c>
      <c r="BD45" s="101"/>
      <c r="BE45" s="288">
        <f>SUM(Sheet1!K45)</f>
        <v>0</v>
      </c>
    </row>
    <row r="46" spans="1:57" ht="12">
      <c r="A46" s="31" t="s">
        <v>225</v>
      </c>
      <c r="B46" s="31" t="s">
        <v>226</v>
      </c>
      <c r="C46" s="47"/>
      <c r="D46" s="47">
        <f t="shared" si="13"/>
        <v>0</v>
      </c>
      <c r="E46" s="64">
        <f t="shared" si="14"/>
        <v>0</v>
      </c>
      <c r="F46" s="64">
        <f t="shared" si="15"/>
        <v>0</v>
      </c>
      <c r="G46" s="47"/>
      <c r="H46" s="47"/>
      <c r="I46" s="71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67"/>
      <c r="AP46" s="54">
        <f>SUM('AC-SVC'!C46)*AP$7</f>
        <v>0</v>
      </c>
      <c r="AQ46" s="54">
        <f>SUM('AC-SVC'!D46)</f>
        <v>0</v>
      </c>
      <c r="AR46" s="54">
        <f>SUM('AC-SVC'!G46)</f>
        <v>0</v>
      </c>
      <c r="AS46" s="54">
        <f>SUM('AC-SVC'!J46)</f>
        <v>0</v>
      </c>
      <c r="AT46" s="54">
        <f>SUM('AC-SVC'!O46)</f>
        <v>0</v>
      </c>
      <c r="AU46" s="54">
        <f>SUM('AC-SVC'!P46)*AU$7</f>
        <v>0</v>
      </c>
      <c r="AV46" s="54">
        <f>SUM(PT!E46)</f>
        <v>0</v>
      </c>
      <c r="AW46" s="54">
        <f>SUM(FC!F46)</f>
        <v>0</v>
      </c>
      <c r="AX46" s="54">
        <v>0</v>
      </c>
      <c r="AY46" s="54">
        <f>SUM(FS!F46)</f>
        <v>0</v>
      </c>
      <c r="AZ46" s="54">
        <f>SUM(IT!F46)</f>
        <v>0</v>
      </c>
      <c r="BA46" s="80"/>
      <c r="BB46" s="60">
        <f t="shared" si="16"/>
        <v>0</v>
      </c>
      <c r="BD46" s="101"/>
      <c r="BE46" s="288">
        <f>SUM(Sheet1!K46)</f>
        <v>0</v>
      </c>
    </row>
    <row r="47" spans="1:57" ht="12">
      <c r="A47" s="31" t="s">
        <v>227</v>
      </c>
      <c r="B47" s="31" t="s">
        <v>297</v>
      </c>
      <c r="C47" s="47"/>
      <c r="D47" s="47">
        <f t="shared" si="13"/>
        <v>0</v>
      </c>
      <c r="E47" s="64">
        <f t="shared" si="14"/>
        <v>0</v>
      </c>
      <c r="F47" s="64">
        <f t="shared" si="15"/>
        <v>0</v>
      </c>
      <c r="G47" s="47"/>
      <c r="H47" s="47"/>
      <c r="I47" s="71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67"/>
      <c r="AP47" s="54">
        <f>SUM('AC-SVC'!C47)*AP$7</f>
        <v>0</v>
      </c>
      <c r="AQ47" s="54">
        <f>SUM('AC-SVC'!D47)</f>
        <v>0</v>
      </c>
      <c r="AR47" s="54">
        <f>SUM('AC-SVC'!G47)</f>
        <v>0</v>
      </c>
      <c r="AS47" s="54">
        <f>SUM('AC-SVC'!J47)</f>
        <v>0</v>
      </c>
      <c r="AT47" s="54">
        <f>SUM('AC-SVC'!O47)</f>
        <v>0</v>
      </c>
      <c r="AU47" s="54">
        <f>SUM('AC-SVC'!P47)*AU$7</f>
        <v>0</v>
      </c>
      <c r="AV47" s="54">
        <f>SUM(PT!E47)</f>
        <v>0</v>
      </c>
      <c r="AW47" s="54">
        <f>SUM(FC!F47)</f>
        <v>0</v>
      </c>
      <c r="AX47" s="54">
        <v>0</v>
      </c>
      <c r="AY47" s="54">
        <f>SUM(FS!F47)</f>
        <v>0</v>
      </c>
      <c r="AZ47" s="54">
        <f>SUM(IT!F47)</f>
        <v>0</v>
      </c>
      <c r="BA47" s="80"/>
      <c r="BB47" s="60">
        <f t="shared" si="16"/>
        <v>0</v>
      </c>
      <c r="BD47" s="101"/>
      <c r="BE47" s="288">
        <f>SUM(Sheet1!K47)</f>
        <v>0</v>
      </c>
    </row>
    <row r="48" spans="1:57" ht="12">
      <c r="A48" s="31" t="s">
        <v>228</v>
      </c>
      <c r="B48" s="31" t="s">
        <v>298</v>
      </c>
      <c r="C48" s="48"/>
      <c r="D48" s="48">
        <f t="shared" si="13"/>
        <v>0</v>
      </c>
      <c r="E48" s="48">
        <f t="shared" si="14"/>
        <v>0</v>
      </c>
      <c r="F48" s="48">
        <f t="shared" si="15"/>
        <v>0</v>
      </c>
      <c r="G48" s="48"/>
      <c r="H48" s="48"/>
      <c r="I48" s="73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67"/>
      <c r="AP48" s="39">
        <f>SUM('AC-SVC'!C48)*AP$7</f>
        <v>0</v>
      </c>
      <c r="AQ48" s="39">
        <f>SUM('AC-SVC'!D48)</f>
        <v>0</v>
      </c>
      <c r="AR48" s="39">
        <f>SUM('AC-SVC'!G48)</f>
        <v>0</v>
      </c>
      <c r="AS48" s="39">
        <f>SUM('AC-SVC'!J48)</f>
        <v>0</v>
      </c>
      <c r="AT48" s="39">
        <f>SUM('AC-SVC'!O48)</f>
        <v>0</v>
      </c>
      <c r="AU48" s="39">
        <f>SUM('AC-SVC'!P48)*AU$7</f>
        <v>0</v>
      </c>
      <c r="AV48" s="39">
        <f>SUM(PT!E48)</f>
        <v>0</v>
      </c>
      <c r="AW48" s="39">
        <f>SUM(FC!F48)</f>
        <v>0</v>
      </c>
      <c r="AX48" s="39">
        <v>0</v>
      </c>
      <c r="AY48" s="39">
        <f>SUM(FS!F48)</f>
        <v>0</v>
      </c>
      <c r="AZ48" s="39">
        <f>SUM(IT!F48)</f>
        <v>0</v>
      </c>
      <c r="BA48" s="73"/>
      <c r="BB48" s="59">
        <f t="shared" si="16"/>
        <v>0</v>
      </c>
      <c r="BD48" s="102"/>
      <c r="BE48" s="288">
        <f>SUM(Sheet1!K48)</f>
        <v>0</v>
      </c>
    </row>
    <row r="49" spans="1:57" ht="10">
      <c r="B49" s="31" t="s">
        <v>299</v>
      </c>
      <c r="C49" s="47">
        <f>SUM(C41:C48)</f>
        <v>3890400</v>
      </c>
      <c r="D49" s="47">
        <f t="shared" ref="D49:H49" si="17">SUM(D41:D48)</f>
        <v>0</v>
      </c>
      <c r="E49" s="47">
        <f t="shared" si="17"/>
        <v>0</v>
      </c>
      <c r="F49" s="47">
        <f t="shared" si="17"/>
        <v>0</v>
      </c>
      <c r="G49" s="47">
        <f t="shared" si="17"/>
        <v>0</v>
      </c>
      <c r="H49" s="47">
        <f t="shared" si="17"/>
        <v>0</v>
      </c>
      <c r="I49" s="71"/>
      <c r="J49" s="47">
        <f t="shared" ref="J49:AN49" si="18">SUM(J41:J48)</f>
        <v>0</v>
      </c>
      <c r="K49" s="47">
        <f t="shared" si="18"/>
        <v>0</v>
      </c>
      <c r="L49" s="47">
        <f t="shared" si="18"/>
        <v>0</v>
      </c>
      <c r="M49" s="47">
        <f t="shared" si="18"/>
        <v>0</v>
      </c>
      <c r="N49" s="47"/>
      <c r="O49" s="47">
        <f t="shared" si="18"/>
        <v>0</v>
      </c>
      <c r="P49" s="47">
        <f t="shared" ref="P49" si="19">SUM(P41:P48)</f>
        <v>0</v>
      </c>
      <c r="Q49" s="47">
        <f t="shared" si="18"/>
        <v>0</v>
      </c>
      <c r="R49" s="47">
        <f t="shared" si="18"/>
        <v>0</v>
      </c>
      <c r="S49" s="47">
        <f t="shared" si="18"/>
        <v>0</v>
      </c>
      <c r="T49" s="47">
        <f t="shared" ref="T49:U49" si="20">SUM(T41:T48)</f>
        <v>0</v>
      </c>
      <c r="U49" s="47">
        <f t="shared" si="20"/>
        <v>0</v>
      </c>
      <c r="V49" s="47">
        <f t="shared" si="18"/>
        <v>0</v>
      </c>
      <c r="W49" s="47">
        <f t="shared" si="18"/>
        <v>0</v>
      </c>
      <c r="X49" s="47">
        <f t="shared" si="18"/>
        <v>0</v>
      </c>
      <c r="Y49" s="47">
        <f t="shared" si="18"/>
        <v>0</v>
      </c>
      <c r="Z49" s="47">
        <f t="shared" si="18"/>
        <v>0</v>
      </c>
      <c r="AA49" s="47">
        <f t="shared" si="18"/>
        <v>0</v>
      </c>
      <c r="AB49" s="47">
        <f t="shared" si="18"/>
        <v>0</v>
      </c>
      <c r="AC49" s="47">
        <f t="shared" si="18"/>
        <v>0</v>
      </c>
      <c r="AD49" s="47">
        <f t="shared" si="18"/>
        <v>0</v>
      </c>
      <c r="AE49" s="47">
        <f t="shared" si="18"/>
        <v>0</v>
      </c>
      <c r="AF49" s="47">
        <f t="shared" si="18"/>
        <v>0</v>
      </c>
      <c r="AG49" s="47">
        <f t="shared" si="18"/>
        <v>0</v>
      </c>
      <c r="AH49" s="47">
        <f t="shared" si="18"/>
        <v>0</v>
      </c>
      <c r="AI49" s="47">
        <f t="shared" si="18"/>
        <v>0</v>
      </c>
      <c r="AJ49" s="47">
        <f t="shared" si="18"/>
        <v>0</v>
      </c>
      <c r="AK49" s="47">
        <f t="shared" si="18"/>
        <v>0</v>
      </c>
      <c r="AL49" s="47">
        <f t="shared" si="18"/>
        <v>0</v>
      </c>
      <c r="AM49" s="47">
        <f t="shared" ref="AM49" si="21">SUM(AM41:AM48)</f>
        <v>0</v>
      </c>
      <c r="AN49" s="47">
        <f t="shared" si="18"/>
        <v>0</v>
      </c>
      <c r="AO49" s="67"/>
      <c r="AP49" s="38">
        <f t="shared" ref="AP49:AT49" si="22">+SUM(AP41:AP48)</f>
        <v>0</v>
      </c>
      <c r="AQ49" s="47">
        <f t="shared" si="22"/>
        <v>0</v>
      </c>
      <c r="AR49" s="38">
        <f t="shared" si="22"/>
        <v>0</v>
      </c>
      <c r="AS49" s="38">
        <f t="shared" si="22"/>
        <v>0</v>
      </c>
      <c r="AT49" s="38">
        <f t="shared" si="22"/>
        <v>0</v>
      </c>
      <c r="AU49" s="38">
        <f t="shared" ref="AU49" si="23">+SUM(AU41:AU48)</f>
        <v>0</v>
      </c>
      <c r="AV49" s="38">
        <f>+SUM(AV41:AV48)</f>
        <v>0</v>
      </c>
      <c r="AW49" s="38">
        <f>+SUM(AW41:AW48)</f>
        <v>0</v>
      </c>
      <c r="AX49" s="38">
        <f t="shared" ref="AX49" si="24">+SUM(AX41:AX48)</f>
        <v>0</v>
      </c>
      <c r="AY49" s="38">
        <f>+SUM(AY41:AY48)</f>
        <v>0</v>
      </c>
      <c r="AZ49" s="38">
        <f t="shared" ref="AZ49" si="25">+SUM(AZ41:AZ48)</f>
        <v>0</v>
      </c>
      <c r="BA49" s="71"/>
      <c r="BB49" s="50">
        <f>SUM(BB41:BB48)</f>
        <v>3890400</v>
      </c>
      <c r="BD49" s="100">
        <f>SUM(BD41:BD48)</f>
        <v>3052232.88</v>
      </c>
      <c r="BE49" s="293">
        <f>SUM(BE41:BE48)</f>
        <v>3624080.5924528302</v>
      </c>
    </row>
    <row r="50" spans="1:57">
      <c r="C50" s="47"/>
      <c r="D50" s="47"/>
      <c r="E50" s="47"/>
      <c r="F50" s="47"/>
      <c r="G50" s="47"/>
      <c r="H50" s="47"/>
      <c r="I50" s="71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67"/>
      <c r="AP50" s="38"/>
      <c r="AQ50" s="47"/>
      <c r="AR50" s="38"/>
      <c r="AS50" s="38"/>
      <c r="AT50" s="38"/>
      <c r="AU50" s="38"/>
      <c r="AV50" s="38"/>
      <c r="AW50" s="38"/>
      <c r="AX50" s="38"/>
      <c r="AY50" s="38"/>
      <c r="AZ50" s="38"/>
      <c r="BA50" s="71"/>
      <c r="BB50" s="50"/>
      <c r="BD50" s="100"/>
      <c r="BE50" s="290"/>
    </row>
    <row r="51" spans="1:57">
      <c r="A51" s="31" t="s">
        <v>300</v>
      </c>
      <c r="C51" s="47"/>
      <c r="D51" s="47"/>
      <c r="E51" s="47"/>
      <c r="F51" s="47"/>
      <c r="G51" s="47"/>
      <c r="H51" s="47"/>
      <c r="I51" s="71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67"/>
      <c r="AP51" s="38"/>
      <c r="AQ51" s="47"/>
      <c r="AR51" s="38"/>
      <c r="AS51" s="38"/>
      <c r="AT51" s="38"/>
      <c r="AU51" s="38"/>
      <c r="AV51" s="38"/>
      <c r="AW51" s="38"/>
      <c r="AX51" s="38"/>
      <c r="AY51" s="38"/>
      <c r="AZ51" s="38"/>
      <c r="BA51" s="71"/>
      <c r="BB51" s="50"/>
      <c r="BD51" s="100"/>
      <c r="BE51" s="290"/>
    </row>
    <row r="52" spans="1:57">
      <c r="A52" s="31" t="s">
        <v>301</v>
      </c>
      <c r="C52" s="47"/>
      <c r="D52" s="47"/>
      <c r="E52" s="47"/>
      <c r="F52" s="47"/>
      <c r="G52" s="47"/>
      <c r="H52" s="47"/>
      <c r="I52" s="71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67"/>
      <c r="AP52" s="38"/>
      <c r="AQ52" s="47"/>
      <c r="AR52" s="38"/>
      <c r="AS52" s="38"/>
      <c r="AT52" s="38"/>
      <c r="AU52" s="38"/>
      <c r="AV52" s="38"/>
      <c r="AW52" s="38"/>
      <c r="AX52" s="38"/>
      <c r="AY52" s="38"/>
      <c r="AZ52" s="38"/>
      <c r="BA52" s="71"/>
      <c r="BB52" s="50"/>
      <c r="BD52" s="100"/>
      <c r="BE52" s="290"/>
    </row>
    <row r="53" spans="1:57" ht="12">
      <c r="A53" s="31" t="s">
        <v>229</v>
      </c>
      <c r="B53" s="31" t="s">
        <v>389</v>
      </c>
      <c r="C53" s="47"/>
      <c r="D53" s="47">
        <f t="shared" ref="D53:D65" si="26">SUM(J53:M53)</f>
        <v>0</v>
      </c>
      <c r="E53" s="64">
        <f t="shared" ref="E53:E65" si="27">SUM(O53:AI53)</f>
        <v>0</v>
      </c>
      <c r="F53" s="64">
        <f t="shared" ref="F53:F65" si="28">SUM(AJ53:AN53)</f>
        <v>0</v>
      </c>
      <c r="G53" s="47"/>
      <c r="H53" s="47"/>
      <c r="I53" s="71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67"/>
      <c r="AP53" s="54">
        <f>SUM('AC-SVC'!C53)*AP$7</f>
        <v>0</v>
      </c>
      <c r="AQ53" s="54">
        <f>SUM('AC-SVC'!D53)</f>
        <v>163200</v>
      </c>
      <c r="AR53" s="54">
        <f>SUM('AC-SVC'!G53)</f>
        <v>0</v>
      </c>
      <c r="AS53" s="54">
        <f>SUM('AC-SVC'!J53)</f>
        <v>0</v>
      </c>
      <c r="AT53" s="54">
        <f>SUM('AC-SVC'!O53)</f>
        <v>0</v>
      </c>
      <c r="AU53" s="54">
        <f>SUM('AC-SVC'!P53)*AU$7</f>
        <v>0</v>
      </c>
      <c r="AV53" s="54">
        <f>SUM(PT!E53)</f>
        <v>0</v>
      </c>
      <c r="AW53" s="54">
        <f>SUM(FC!F53)</f>
        <v>0</v>
      </c>
      <c r="AX53" s="54">
        <v>0</v>
      </c>
      <c r="AY53" s="54">
        <f>SUM(FS!F53)</f>
        <v>0</v>
      </c>
      <c r="AZ53" s="54">
        <f>SUM(IT!F53)</f>
        <v>0</v>
      </c>
      <c r="BA53" s="80"/>
      <c r="BB53" s="60">
        <f t="shared" ref="BB53:BB65" si="29">SUM(C53:H53)+SUM(AP53:AZ53)</f>
        <v>163200</v>
      </c>
      <c r="BD53" s="101">
        <v>0</v>
      </c>
      <c r="BE53" s="288">
        <f>SUM(Sheet1!K53)</f>
        <v>101610.77358490566</v>
      </c>
    </row>
    <row r="54" spans="1:57" ht="12">
      <c r="A54" s="31" t="s">
        <v>230</v>
      </c>
      <c r="B54" s="31" t="s">
        <v>390</v>
      </c>
      <c r="C54" s="47"/>
      <c r="D54" s="47">
        <f t="shared" si="26"/>
        <v>0</v>
      </c>
      <c r="E54" s="64">
        <f t="shared" si="27"/>
        <v>0</v>
      </c>
      <c r="F54" s="64">
        <f t="shared" si="28"/>
        <v>0</v>
      </c>
      <c r="G54" s="47"/>
      <c r="H54" s="47"/>
      <c r="I54" s="71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67"/>
      <c r="AP54" s="54">
        <f>SUM('AC-SVC'!C54)*AP$7</f>
        <v>0</v>
      </c>
      <c r="AQ54" s="54">
        <f>SUM('AC-SVC'!D54)</f>
        <v>0</v>
      </c>
      <c r="AR54" s="54">
        <f>SUM('AC-SVC'!G54)</f>
        <v>0</v>
      </c>
      <c r="AS54" s="54">
        <f>SUM('AC-SVC'!J54)</f>
        <v>0</v>
      </c>
      <c r="AT54" s="54">
        <f>SUM('AC-SVC'!O54)</f>
        <v>0</v>
      </c>
      <c r="AU54" s="54">
        <f>SUM('AC-SVC'!P54)*AU$7</f>
        <v>0</v>
      </c>
      <c r="AV54" s="54">
        <f>SUM(PT!E54)</f>
        <v>0</v>
      </c>
      <c r="AW54" s="54">
        <f>SUM(FC!F54)</f>
        <v>0</v>
      </c>
      <c r="AX54" s="54">
        <v>0</v>
      </c>
      <c r="AY54" s="54">
        <f>SUM(FS!F54)</f>
        <v>0</v>
      </c>
      <c r="AZ54" s="54">
        <f>SUM(IT!F54)</f>
        <v>0</v>
      </c>
      <c r="BA54" s="80"/>
      <c r="BB54" s="60">
        <f t="shared" si="29"/>
        <v>0</v>
      </c>
      <c r="BD54" s="101"/>
      <c r="BE54" s="288">
        <f>SUM(Sheet1!K54)</f>
        <v>0</v>
      </c>
    </row>
    <row r="55" spans="1:57" ht="12">
      <c r="A55" s="31" t="s">
        <v>231</v>
      </c>
      <c r="B55" s="31" t="s">
        <v>391</v>
      </c>
      <c r="C55" s="47"/>
      <c r="D55" s="47">
        <f t="shared" si="26"/>
        <v>0</v>
      </c>
      <c r="E55" s="64">
        <f t="shared" si="27"/>
        <v>0</v>
      </c>
      <c r="F55" s="64">
        <f t="shared" si="28"/>
        <v>0</v>
      </c>
      <c r="G55" s="47"/>
      <c r="H55" s="47"/>
      <c r="I55" s="71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67"/>
      <c r="AP55" s="54">
        <f>SUM('AC-SVC'!C55)*AP$7</f>
        <v>0</v>
      </c>
      <c r="AQ55" s="54">
        <f>SUM('AC-SVC'!D55)</f>
        <v>6400</v>
      </c>
      <c r="AR55" s="54">
        <f>SUM('AC-SVC'!G55)</f>
        <v>0</v>
      </c>
      <c r="AS55" s="54">
        <f>SUM('AC-SVC'!J55)</f>
        <v>0</v>
      </c>
      <c r="AT55" s="54">
        <f>SUM('AC-SVC'!O55)</f>
        <v>0</v>
      </c>
      <c r="AU55" s="54">
        <f>SUM('AC-SVC'!P55)*AU$7</f>
        <v>0</v>
      </c>
      <c r="AV55" s="54">
        <f>SUM(PT!E55)</f>
        <v>0</v>
      </c>
      <c r="AW55" s="54">
        <f>SUM(FC!F55)</f>
        <v>0</v>
      </c>
      <c r="AX55" s="54">
        <v>0</v>
      </c>
      <c r="AY55" s="54">
        <f>SUM(FS!F55)</f>
        <v>0</v>
      </c>
      <c r="AZ55" s="54">
        <f>SUM(IT!F55)</f>
        <v>0</v>
      </c>
      <c r="BA55" s="80"/>
      <c r="BB55" s="60">
        <f t="shared" si="29"/>
        <v>6400</v>
      </c>
      <c r="BD55" s="101"/>
      <c r="BE55" s="288">
        <f>SUM(Sheet1!K55)</f>
        <v>0</v>
      </c>
    </row>
    <row r="56" spans="1:57" ht="12">
      <c r="A56" s="31" t="s">
        <v>232</v>
      </c>
      <c r="B56" s="31" t="s">
        <v>302</v>
      </c>
      <c r="C56" s="47"/>
      <c r="D56" s="47">
        <f t="shared" si="26"/>
        <v>0</v>
      </c>
      <c r="E56" s="64">
        <f t="shared" si="27"/>
        <v>0</v>
      </c>
      <c r="F56" s="64">
        <f t="shared" si="28"/>
        <v>0</v>
      </c>
      <c r="G56" s="47"/>
      <c r="H56" s="47"/>
      <c r="I56" s="71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67"/>
      <c r="AP56" s="54">
        <f>SUM('AC-SVC'!C56)*AP$7</f>
        <v>0</v>
      </c>
      <c r="AQ56" s="54">
        <f>SUM('AC-SVC'!D56)</f>
        <v>74373.517241379319</v>
      </c>
      <c r="AR56" s="54">
        <f>SUM('AC-SVC'!G56)</f>
        <v>0</v>
      </c>
      <c r="AS56" s="54">
        <f>SUM('AC-SVC'!J56)</f>
        <v>0</v>
      </c>
      <c r="AT56" s="54">
        <f>SUM('AC-SVC'!O56)</f>
        <v>0</v>
      </c>
      <c r="AU56" s="54">
        <f>SUM('AC-SVC'!P56)*AU$7</f>
        <v>0</v>
      </c>
      <c r="AV56" s="54">
        <f>SUM(PT!E56)</f>
        <v>0</v>
      </c>
      <c r="AW56" s="54">
        <f>SUM(FC!F56)</f>
        <v>0</v>
      </c>
      <c r="AX56" s="54">
        <v>0</v>
      </c>
      <c r="AY56" s="54">
        <f>SUM(FS!F56)</f>
        <v>0</v>
      </c>
      <c r="AZ56" s="54">
        <f>SUM(IT!F56)</f>
        <v>0</v>
      </c>
      <c r="BA56" s="80"/>
      <c r="BB56" s="60">
        <f t="shared" si="29"/>
        <v>74373.517241379319</v>
      </c>
      <c r="BD56" s="101"/>
      <c r="BE56" s="288">
        <f>SUM(Sheet1!K56)</f>
        <v>31864.641509433965</v>
      </c>
    </row>
    <row r="57" spans="1:57" ht="12">
      <c r="A57" s="31" t="s">
        <v>233</v>
      </c>
      <c r="B57" s="31" t="s">
        <v>303</v>
      </c>
      <c r="C57" s="47"/>
      <c r="D57" s="47">
        <f t="shared" si="26"/>
        <v>0</v>
      </c>
      <c r="E57" s="64">
        <f t="shared" si="27"/>
        <v>0</v>
      </c>
      <c r="F57" s="64">
        <f t="shared" si="28"/>
        <v>0</v>
      </c>
      <c r="G57" s="47"/>
      <c r="H57" s="47"/>
      <c r="I57" s="71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67"/>
      <c r="AP57" s="54">
        <f>SUM('AC-SVC'!C57)*AP$7</f>
        <v>0</v>
      </c>
      <c r="AQ57" s="54">
        <f>SUM('AC-SVC'!D57)</f>
        <v>0</v>
      </c>
      <c r="AR57" s="54">
        <f>SUM('AC-SVC'!G57)</f>
        <v>0</v>
      </c>
      <c r="AS57" s="54">
        <f>SUM('AC-SVC'!J57)</f>
        <v>0</v>
      </c>
      <c r="AT57" s="54">
        <f>SUM('AC-SVC'!O57)</f>
        <v>0</v>
      </c>
      <c r="AU57" s="54">
        <f>SUM('AC-SVC'!P57)*AU$7</f>
        <v>0</v>
      </c>
      <c r="AV57" s="54">
        <f>SUM(PT!E57)</f>
        <v>0</v>
      </c>
      <c r="AW57" s="54">
        <f>SUM(FC!F57)</f>
        <v>0</v>
      </c>
      <c r="AX57" s="54">
        <v>0</v>
      </c>
      <c r="AY57" s="54">
        <f>SUM(FS!F57)</f>
        <v>129920</v>
      </c>
      <c r="AZ57" s="54">
        <f>SUM(IT!F57)</f>
        <v>0</v>
      </c>
      <c r="BA57" s="80"/>
      <c r="BB57" s="60">
        <f t="shared" si="29"/>
        <v>129920</v>
      </c>
      <c r="BD57" s="101">
        <v>72743.95</v>
      </c>
      <c r="BE57" s="288">
        <f>SUM(Sheet1!K57)</f>
        <v>111654.23018867926</v>
      </c>
    </row>
    <row r="58" spans="1:57" ht="12">
      <c r="A58" s="31" t="s">
        <v>0</v>
      </c>
      <c r="B58" s="31" t="s">
        <v>304</v>
      </c>
      <c r="C58" s="47"/>
      <c r="D58" s="47">
        <f t="shared" si="26"/>
        <v>0</v>
      </c>
      <c r="E58" s="64">
        <f t="shared" si="27"/>
        <v>0</v>
      </c>
      <c r="F58" s="64">
        <f t="shared" si="28"/>
        <v>0</v>
      </c>
      <c r="G58" s="47"/>
      <c r="H58" s="47"/>
      <c r="I58" s="71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67"/>
      <c r="AP58" s="54">
        <f>SUM('AC-SVC'!C58)*AP$7</f>
        <v>0</v>
      </c>
      <c r="AQ58" s="54">
        <f>SUM('AC-SVC'!D58)</f>
        <v>0</v>
      </c>
      <c r="AR58" s="54">
        <f>SUM('AC-SVC'!G58)</f>
        <v>0</v>
      </c>
      <c r="AS58" s="54">
        <f>SUM('AC-SVC'!J58)</f>
        <v>0</v>
      </c>
      <c r="AT58" s="54">
        <f>SUM('AC-SVC'!O58)</f>
        <v>0</v>
      </c>
      <c r="AU58" s="54">
        <f>SUM('AC-SVC'!P58)*AU$7</f>
        <v>0</v>
      </c>
      <c r="AV58" s="54">
        <f>SUM(PT!E58)</f>
        <v>0</v>
      </c>
      <c r="AW58" s="54">
        <f>SUM(FC!F58)</f>
        <v>0</v>
      </c>
      <c r="AX58" s="54">
        <v>0</v>
      </c>
      <c r="AY58" s="54">
        <f>SUM(FS!F58)</f>
        <v>0</v>
      </c>
      <c r="AZ58" s="54">
        <f>SUM(IT!F58)</f>
        <v>16637</v>
      </c>
      <c r="BA58" s="80"/>
      <c r="BB58" s="60">
        <f t="shared" si="29"/>
        <v>16637</v>
      </c>
      <c r="BD58" s="101">
        <v>4931.1000000000004</v>
      </c>
      <c r="BE58" s="288">
        <f>SUM(Sheet1!K58)</f>
        <v>11122.150943396226</v>
      </c>
    </row>
    <row r="59" spans="1:57" ht="12">
      <c r="A59" s="31" t="s">
        <v>1</v>
      </c>
      <c r="B59" s="31" t="s">
        <v>305</v>
      </c>
      <c r="C59" s="47"/>
      <c r="D59" s="47">
        <f t="shared" si="26"/>
        <v>0</v>
      </c>
      <c r="E59" s="64">
        <f t="shared" si="27"/>
        <v>0</v>
      </c>
      <c r="F59" s="64">
        <f t="shared" si="28"/>
        <v>0</v>
      </c>
      <c r="G59" s="47"/>
      <c r="H59" s="47"/>
      <c r="I59" s="71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67"/>
      <c r="AP59" s="54">
        <f>SUM('AC-SVC'!C59)*AP$7</f>
        <v>0</v>
      </c>
      <c r="AQ59" s="54">
        <f>SUM('AC-SVC'!D59)</f>
        <v>0</v>
      </c>
      <c r="AR59" s="54">
        <f>SUM('AC-SVC'!G59)</f>
        <v>0</v>
      </c>
      <c r="AS59" s="54">
        <f>SUM('AC-SVC'!J59)</f>
        <v>0</v>
      </c>
      <c r="AT59" s="54">
        <f>SUM('AC-SVC'!O59)</f>
        <v>0</v>
      </c>
      <c r="AU59" s="54">
        <f>SUM('AC-SVC'!P59)*AU$7</f>
        <v>0</v>
      </c>
      <c r="AV59" s="54">
        <f>SUM(PT!E59)</f>
        <v>0</v>
      </c>
      <c r="AW59" s="54">
        <f>SUM(FC!F59)</f>
        <v>0</v>
      </c>
      <c r="AX59" s="54">
        <v>0</v>
      </c>
      <c r="AY59" s="54">
        <f>SUM(FS!F59)</f>
        <v>0</v>
      </c>
      <c r="AZ59" s="54">
        <f>SUM(IT!F59)</f>
        <v>0</v>
      </c>
      <c r="BA59" s="80"/>
      <c r="BB59" s="60">
        <f t="shared" si="29"/>
        <v>0</v>
      </c>
      <c r="BD59" s="101"/>
      <c r="BE59" s="288">
        <f>SUM(Sheet1!K59)</f>
        <v>117789.91320754717</v>
      </c>
    </row>
    <row r="60" spans="1:57" ht="12">
      <c r="A60" s="31" t="s">
        <v>3</v>
      </c>
      <c r="B60" s="31" t="s">
        <v>2</v>
      </c>
      <c r="C60" s="47"/>
      <c r="D60" s="47">
        <f t="shared" si="26"/>
        <v>0</v>
      </c>
      <c r="E60" s="64">
        <f t="shared" si="27"/>
        <v>0</v>
      </c>
      <c r="F60" s="64">
        <f t="shared" si="28"/>
        <v>0</v>
      </c>
      <c r="G60" s="47"/>
      <c r="H60" s="47"/>
      <c r="I60" s="71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67"/>
      <c r="AP60" s="54">
        <f>SUM('AC-SVC'!C60)*AP$7</f>
        <v>0</v>
      </c>
      <c r="AQ60" s="54">
        <f>SUM('AC-SVC'!D60)</f>
        <v>0</v>
      </c>
      <c r="AR60" s="54">
        <f>SUM('AC-SVC'!G60)</f>
        <v>0</v>
      </c>
      <c r="AS60" s="54">
        <f>SUM('AC-SVC'!J60)</f>
        <v>0</v>
      </c>
      <c r="AT60" s="54">
        <f>SUM('AC-SVC'!O60)</f>
        <v>0</v>
      </c>
      <c r="AU60" s="54">
        <f>SUM('AC-SVC'!P60)*AU$7</f>
        <v>0</v>
      </c>
      <c r="AV60" s="54">
        <f>SUM(PT!E60)</f>
        <v>0</v>
      </c>
      <c r="AW60" s="54">
        <f>SUM(FC!F60)</f>
        <v>0</v>
      </c>
      <c r="AX60" s="54">
        <v>0</v>
      </c>
      <c r="AY60" s="54">
        <f>SUM(FS!F60)</f>
        <v>0</v>
      </c>
      <c r="AZ60" s="54">
        <f>SUM(IT!F60)</f>
        <v>0</v>
      </c>
      <c r="BA60" s="80"/>
      <c r="BB60" s="60">
        <f t="shared" si="29"/>
        <v>0</v>
      </c>
      <c r="BD60" s="101"/>
      <c r="BE60" s="288">
        <f>SUM(Sheet1!K60)</f>
        <v>0</v>
      </c>
    </row>
    <row r="61" spans="1:57" ht="12">
      <c r="A61" s="31" t="s">
        <v>4</v>
      </c>
      <c r="B61" s="31" t="s">
        <v>5</v>
      </c>
      <c r="C61" s="47"/>
      <c r="D61" s="47">
        <f t="shared" si="26"/>
        <v>0</v>
      </c>
      <c r="E61" s="64">
        <f t="shared" si="27"/>
        <v>0</v>
      </c>
      <c r="F61" s="64">
        <f t="shared" si="28"/>
        <v>0</v>
      </c>
      <c r="G61" s="47"/>
      <c r="H61" s="47"/>
      <c r="I61" s="71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67"/>
      <c r="AP61" s="54">
        <f>SUM('AC-SVC'!C61)*AP$7</f>
        <v>0</v>
      </c>
      <c r="AQ61" s="54">
        <f>SUM('AC-SVC'!D61)</f>
        <v>93567.251461988315</v>
      </c>
      <c r="AR61" s="54">
        <f>SUM('AC-SVC'!G61)</f>
        <v>0</v>
      </c>
      <c r="AS61" s="54">
        <f>SUM('AC-SVC'!J61)</f>
        <v>0</v>
      </c>
      <c r="AT61" s="54">
        <f>SUM('AC-SVC'!O61)</f>
        <v>0</v>
      </c>
      <c r="AU61" s="54">
        <f>SUM('AC-SVC'!P61)*AU$7</f>
        <v>0</v>
      </c>
      <c r="AV61" s="54">
        <f>SUM(PT!E61)</f>
        <v>0</v>
      </c>
      <c r="AW61" s="54">
        <f>SUM(FC!F61)</f>
        <v>0</v>
      </c>
      <c r="AX61" s="54">
        <v>0</v>
      </c>
      <c r="AY61" s="54">
        <f>SUM(FS!F61)</f>
        <v>0</v>
      </c>
      <c r="AZ61" s="54">
        <f>SUM(IT!F61)</f>
        <v>0</v>
      </c>
      <c r="BA61" s="80"/>
      <c r="BB61" s="60">
        <f t="shared" si="29"/>
        <v>93567.251461988315</v>
      </c>
      <c r="BD61" s="101"/>
      <c r="BE61" s="288">
        <f>SUM(Sheet1!K61)</f>
        <v>0</v>
      </c>
    </row>
    <row r="62" spans="1:57" ht="12">
      <c r="A62" s="31" t="s">
        <v>6</v>
      </c>
      <c r="B62" s="31" t="s">
        <v>7</v>
      </c>
      <c r="C62" s="47"/>
      <c r="D62" s="47">
        <f t="shared" si="26"/>
        <v>0</v>
      </c>
      <c r="E62" s="64">
        <f t="shared" si="27"/>
        <v>0</v>
      </c>
      <c r="F62" s="64">
        <f t="shared" si="28"/>
        <v>0</v>
      </c>
      <c r="G62" s="47"/>
      <c r="H62" s="47"/>
      <c r="I62" s="71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67"/>
      <c r="AP62" s="54">
        <f>SUM('AC-SVC'!C62)*AP$7</f>
        <v>0</v>
      </c>
      <c r="AQ62" s="54">
        <f>SUM('AC-SVC'!D62)</f>
        <v>0</v>
      </c>
      <c r="AR62" s="54">
        <f>SUM('AC-SVC'!G62)</f>
        <v>0</v>
      </c>
      <c r="AS62" s="54">
        <f>SUM('AC-SVC'!J62)</f>
        <v>0</v>
      </c>
      <c r="AT62" s="54">
        <f>SUM('AC-SVC'!O62)</f>
        <v>0</v>
      </c>
      <c r="AU62" s="54">
        <f>SUM('AC-SVC'!P62)*AU$7</f>
        <v>0</v>
      </c>
      <c r="AV62" s="54">
        <f>SUM(PT!E62)</f>
        <v>0</v>
      </c>
      <c r="AW62" s="54">
        <f>SUM(FC!F62)</f>
        <v>0</v>
      </c>
      <c r="AX62" s="54">
        <v>0</v>
      </c>
      <c r="AY62" s="54">
        <f>SUM(FS!F62)</f>
        <v>0</v>
      </c>
      <c r="AZ62" s="54">
        <f>SUM(IT!F62)</f>
        <v>0</v>
      </c>
      <c r="BA62" s="80"/>
      <c r="BB62" s="60">
        <f t="shared" si="29"/>
        <v>0</v>
      </c>
      <c r="BD62" s="101"/>
      <c r="BE62" s="288">
        <f>SUM(Sheet1!K62)</f>
        <v>118546.2566037736</v>
      </c>
    </row>
    <row r="63" spans="1:57" ht="12">
      <c r="A63" s="31" t="s">
        <v>8</v>
      </c>
      <c r="B63" s="31" t="s">
        <v>9</v>
      </c>
      <c r="C63" s="47"/>
      <c r="D63" s="47">
        <f t="shared" si="26"/>
        <v>0</v>
      </c>
      <c r="E63" s="64">
        <f t="shared" si="27"/>
        <v>0</v>
      </c>
      <c r="F63" s="64">
        <f t="shared" si="28"/>
        <v>0</v>
      </c>
      <c r="G63" s="47"/>
      <c r="H63" s="47"/>
      <c r="I63" s="71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67"/>
      <c r="AP63" s="54">
        <f>SUM('AC-SVC'!C63)*AP$7</f>
        <v>0</v>
      </c>
      <c r="AQ63" s="54">
        <f>SUM('AC-SVC'!D63)</f>
        <v>0</v>
      </c>
      <c r="AR63" s="54">
        <f>SUM('AC-SVC'!G63)</f>
        <v>0</v>
      </c>
      <c r="AS63" s="54">
        <f>SUM('AC-SVC'!J63)</f>
        <v>0</v>
      </c>
      <c r="AT63" s="54">
        <f>SUM('AC-SVC'!O63)</f>
        <v>0</v>
      </c>
      <c r="AU63" s="54">
        <f>SUM('AC-SVC'!P63)*AU$7</f>
        <v>0</v>
      </c>
      <c r="AV63" s="54">
        <f>SUM(PT!E63)</f>
        <v>0</v>
      </c>
      <c r="AW63" s="54">
        <f>SUM(FC!F63)</f>
        <v>0</v>
      </c>
      <c r="AX63" s="54">
        <v>0</v>
      </c>
      <c r="AY63" s="54">
        <f>SUM(FS!F63)</f>
        <v>0</v>
      </c>
      <c r="AZ63" s="54">
        <f>SUM(IT!F63)</f>
        <v>0</v>
      </c>
      <c r="BA63" s="80"/>
      <c r="BB63" s="60">
        <f t="shared" si="29"/>
        <v>0</v>
      </c>
      <c r="BD63" s="101"/>
      <c r="BE63" s="288">
        <f>SUM(Sheet1!K63)</f>
        <v>0</v>
      </c>
    </row>
    <row r="64" spans="1:57" ht="12">
      <c r="A64" s="31" t="s">
        <v>11</v>
      </c>
      <c r="B64" s="31" t="s">
        <v>307</v>
      </c>
      <c r="C64" s="47"/>
      <c r="D64" s="47">
        <f t="shared" si="26"/>
        <v>0</v>
      </c>
      <c r="E64" s="64">
        <f t="shared" si="27"/>
        <v>0</v>
      </c>
      <c r="F64" s="64">
        <f t="shared" si="28"/>
        <v>0</v>
      </c>
      <c r="G64" s="47"/>
      <c r="H64" s="47"/>
      <c r="I64" s="71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67"/>
      <c r="AP64" s="54">
        <f>SUM('AC-SVC'!C64)*AP$7</f>
        <v>0</v>
      </c>
      <c r="AQ64" s="54">
        <f>SUM('AC-SVC'!D64)</f>
        <v>0</v>
      </c>
      <c r="AR64" s="54">
        <f>SUM('AC-SVC'!G64)</f>
        <v>0</v>
      </c>
      <c r="AS64" s="54">
        <f>SUM('AC-SVC'!J64)</f>
        <v>0</v>
      </c>
      <c r="AT64" s="54">
        <f>SUM('AC-SVC'!O64)</f>
        <v>0</v>
      </c>
      <c r="AU64" s="54">
        <f>SUM('AC-SVC'!P64)*AU$7</f>
        <v>0</v>
      </c>
      <c r="AV64" s="54">
        <f>SUM(PT!E64)</f>
        <v>0</v>
      </c>
      <c r="AW64" s="54">
        <f>SUM(FC!F64)</f>
        <v>0</v>
      </c>
      <c r="AX64" s="54">
        <v>0</v>
      </c>
      <c r="AY64" s="54">
        <f>SUM(FS!F64)</f>
        <v>0</v>
      </c>
      <c r="AZ64" s="54">
        <f>SUM(IT!F64)</f>
        <v>0</v>
      </c>
      <c r="BA64" s="80"/>
      <c r="BB64" s="60">
        <f t="shared" si="29"/>
        <v>0</v>
      </c>
      <c r="BD64" s="101"/>
      <c r="BE64" s="288">
        <f>SUM(Sheet1!K64)</f>
        <v>0</v>
      </c>
    </row>
    <row r="65" spans="1:57" ht="12">
      <c r="A65" s="31" t="s">
        <v>10</v>
      </c>
      <c r="B65" s="31" t="s">
        <v>306</v>
      </c>
      <c r="C65" s="48"/>
      <c r="D65" s="48">
        <f t="shared" si="26"/>
        <v>0</v>
      </c>
      <c r="E65" s="48">
        <f t="shared" si="27"/>
        <v>0</v>
      </c>
      <c r="F65" s="48">
        <f t="shared" si="28"/>
        <v>0</v>
      </c>
      <c r="G65" s="48"/>
      <c r="H65" s="48"/>
      <c r="I65" s="7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67"/>
      <c r="AP65" s="39">
        <f>SUM('AC-SVC'!C65)*AP$7</f>
        <v>0</v>
      </c>
      <c r="AQ65" s="39">
        <f>SUM('AC-SVC'!D65)</f>
        <v>0</v>
      </c>
      <c r="AR65" s="39">
        <f>SUM('AC-SVC'!G65)</f>
        <v>0</v>
      </c>
      <c r="AS65" s="39">
        <f>SUM('AC-SVC'!J65)</f>
        <v>0</v>
      </c>
      <c r="AT65" s="39">
        <f>SUM('AC-SVC'!O65)</f>
        <v>0</v>
      </c>
      <c r="AU65" s="39">
        <f>SUM('AC-SVC'!P65)*AU$7</f>
        <v>0</v>
      </c>
      <c r="AV65" s="39">
        <f>SUM(PT!E65)</f>
        <v>0</v>
      </c>
      <c r="AW65" s="39">
        <f>SUM(FC!F65)</f>
        <v>0</v>
      </c>
      <c r="AX65" s="39">
        <v>0</v>
      </c>
      <c r="AY65" s="39">
        <f>SUM(FS!F65)</f>
        <v>0</v>
      </c>
      <c r="AZ65" s="39">
        <f>SUM(IT!F65)</f>
        <v>0</v>
      </c>
      <c r="BA65" s="73"/>
      <c r="BB65" s="59">
        <f t="shared" si="29"/>
        <v>0</v>
      </c>
      <c r="BD65" s="102"/>
      <c r="BE65" s="288">
        <f>SUM(Sheet1!K65)</f>
        <v>0</v>
      </c>
    </row>
    <row r="66" spans="1:57" ht="10">
      <c r="B66" s="31" t="s">
        <v>308</v>
      </c>
      <c r="C66" s="47">
        <f>SUM(C53:C65)</f>
        <v>0</v>
      </c>
      <c r="D66" s="47">
        <f t="shared" ref="D66:H66" si="30">SUM(D53:D65)</f>
        <v>0</v>
      </c>
      <c r="E66" s="47">
        <f t="shared" si="30"/>
        <v>0</v>
      </c>
      <c r="F66" s="47">
        <f t="shared" si="30"/>
        <v>0</v>
      </c>
      <c r="G66" s="47">
        <f t="shared" si="30"/>
        <v>0</v>
      </c>
      <c r="H66" s="47">
        <f t="shared" si="30"/>
        <v>0</v>
      </c>
      <c r="I66" s="71"/>
      <c r="J66" s="47">
        <f t="shared" ref="J66:AN66" si="31">SUM(J53:J65)</f>
        <v>0</v>
      </c>
      <c r="K66" s="47">
        <f t="shared" si="31"/>
        <v>0</v>
      </c>
      <c r="L66" s="47">
        <f t="shared" si="31"/>
        <v>0</v>
      </c>
      <c r="M66" s="47">
        <f t="shared" si="31"/>
        <v>0</v>
      </c>
      <c r="N66" s="47"/>
      <c r="O66" s="47">
        <f t="shared" si="31"/>
        <v>0</v>
      </c>
      <c r="P66" s="47">
        <f t="shared" ref="P66" si="32">SUM(P53:P65)</f>
        <v>0</v>
      </c>
      <c r="Q66" s="47">
        <f t="shared" si="31"/>
        <v>0</v>
      </c>
      <c r="R66" s="47">
        <f t="shared" si="31"/>
        <v>0</v>
      </c>
      <c r="S66" s="47">
        <f t="shared" si="31"/>
        <v>0</v>
      </c>
      <c r="T66" s="47">
        <f t="shared" ref="T66:U66" si="33">SUM(T53:T65)</f>
        <v>0</v>
      </c>
      <c r="U66" s="47">
        <f t="shared" si="33"/>
        <v>0</v>
      </c>
      <c r="V66" s="47">
        <f t="shared" si="31"/>
        <v>0</v>
      </c>
      <c r="W66" s="47">
        <f t="shared" si="31"/>
        <v>0</v>
      </c>
      <c r="X66" s="47">
        <f t="shared" si="31"/>
        <v>0</v>
      </c>
      <c r="Y66" s="47">
        <f t="shared" si="31"/>
        <v>0</v>
      </c>
      <c r="Z66" s="47">
        <f t="shared" si="31"/>
        <v>0</v>
      </c>
      <c r="AA66" s="47">
        <f t="shared" si="31"/>
        <v>0</v>
      </c>
      <c r="AB66" s="47">
        <f t="shared" si="31"/>
        <v>0</v>
      </c>
      <c r="AC66" s="47">
        <f t="shared" si="31"/>
        <v>0</v>
      </c>
      <c r="AD66" s="47">
        <f t="shared" si="31"/>
        <v>0</v>
      </c>
      <c r="AE66" s="47">
        <f t="shared" si="31"/>
        <v>0</v>
      </c>
      <c r="AF66" s="47">
        <f t="shared" si="31"/>
        <v>0</v>
      </c>
      <c r="AG66" s="47">
        <f t="shared" si="31"/>
        <v>0</v>
      </c>
      <c r="AH66" s="47">
        <f t="shared" si="31"/>
        <v>0</v>
      </c>
      <c r="AI66" s="47">
        <f t="shared" si="31"/>
        <v>0</v>
      </c>
      <c r="AJ66" s="47">
        <f t="shared" si="31"/>
        <v>0</v>
      </c>
      <c r="AK66" s="47">
        <f t="shared" si="31"/>
        <v>0</v>
      </c>
      <c r="AL66" s="47">
        <f t="shared" si="31"/>
        <v>0</v>
      </c>
      <c r="AM66" s="47">
        <f t="shared" ref="AM66" si="34">SUM(AM53:AM65)</f>
        <v>0</v>
      </c>
      <c r="AN66" s="47">
        <f t="shared" si="31"/>
        <v>0</v>
      </c>
      <c r="AO66" s="67"/>
      <c r="AP66" s="38">
        <f t="shared" ref="AP66:AT66" si="35">+SUM(AP53:AP65)</f>
        <v>0</v>
      </c>
      <c r="AQ66" s="47">
        <f t="shared" si="35"/>
        <v>337540.76870336762</v>
      </c>
      <c r="AR66" s="38">
        <f t="shared" si="35"/>
        <v>0</v>
      </c>
      <c r="AS66" s="38">
        <f t="shared" si="35"/>
        <v>0</v>
      </c>
      <c r="AT66" s="38">
        <f t="shared" si="35"/>
        <v>0</v>
      </c>
      <c r="AU66" s="38">
        <f t="shared" ref="AU66" si="36">+SUM(AU53:AU65)</f>
        <v>0</v>
      </c>
      <c r="AV66" s="38">
        <f>+SUM(AV53:AV65)</f>
        <v>0</v>
      </c>
      <c r="AW66" s="38">
        <f>+SUM(AW53:AW65)</f>
        <v>0</v>
      </c>
      <c r="AX66" s="38">
        <f t="shared" ref="AX66" si="37">+SUM(AX53:AX65)</f>
        <v>0</v>
      </c>
      <c r="AY66" s="38">
        <f>+SUM(AY53:AY65)</f>
        <v>129920</v>
      </c>
      <c r="AZ66" s="38">
        <f t="shared" ref="AZ66" si="38">+SUM(AZ53:AZ65)</f>
        <v>16637</v>
      </c>
      <c r="BA66" s="71"/>
      <c r="BB66" s="50">
        <f>SUM(BB53:BB65)</f>
        <v>484097.76870336762</v>
      </c>
      <c r="BD66" s="100">
        <f>SUM(BD53:BD65)</f>
        <v>77675.05</v>
      </c>
      <c r="BE66" s="293">
        <f>SUM(BE53:BE65)</f>
        <v>492587.96603773593</v>
      </c>
    </row>
    <row r="67" spans="1:57">
      <c r="C67" s="47"/>
      <c r="D67" s="47"/>
      <c r="E67" s="47"/>
      <c r="F67" s="47"/>
      <c r="G67" s="47"/>
      <c r="H67" s="47"/>
      <c r="I67" s="71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67"/>
      <c r="AP67" s="38"/>
      <c r="AQ67" s="47"/>
      <c r="AR67" s="38"/>
      <c r="AS67" s="38"/>
      <c r="AT67" s="38"/>
      <c r="AU67" s="38"/>
      <c r="AV67" s="38"/>
      <c r="AW67" s="38"/>
      <c r="AX67" s="38"/>
      <c r="AY67" s="38"/>
      <c r="AZ67" s="38"/>
      <c r="BA67" s="71"/>
      <c r="BB67" s="50"/>
      <c r="BD67" s="100"/>
      <c r="BE67" s="290"/>
    </row>
    <row r="68" spans="1:57" s="30" customFormat="1" ht="10">
      <c r="A68" s="35"/>
      <c r="B68" s="35" t="s">
        <v>309</v>
      </c>
      <c r="C68" s="50">
        <f>SUM(C38+C49+C66)</f>
        <v>4301400</v>
      </c>
      <c r="D68" s="50">
        <f t="shared" ref="D68:H68" si="39">SUM(D38+D49+D66)</f>
        <v>0</v>
      </c>
      <c r="E68" s="50">
        <f t="shared" si="39"/>
        <v>0</v>
      </c>
      <c r="F68" s="50">
        <f t="shared" si="39"/>
        <v>0</v>
      </c>
      <c r="G68" s="50">
        <f t="shared" si="39"/>
        <v>0</v>
      </c>
      <c r="H68" s="50">
        <f t="shared" si="39"/>
        <v>0</v>
      </c>
      <c r="I68" s="74"/>
      <c r="J68" s="50">
        <f t="shared" ref="J68:AN68" si="40">SUM(J38+J49+J66)</f>
        <v>0</v>
      </c>
      <c r="K68" s="50">
        <f t="shared" si="40"/>
        <v>0</v>
      </c>
      <c r="L68" s="50">
        <f t="shared" si="40"/>
        <v>0</v>
      </c>
      <c r="M68" s="50">
        <f t="shared" si="40"/>
        <v>0</v>
      </c>
      <c r="N68" s="50"/>
      <c r="O68" s="50">
        <f t="shared" si="40"/>
        <v>0</v>
      </c>
      <c r="P68" s="50">
        <f t="shared" ref="P68" si="41">SUM(P38+P49+P66)</f>
        <v>0</v>
      </c>
      <c r="Q68" s="50">
        <f t="shared" si="40"/>
        <v>0</v>
      </c>
      <c r="R68" s="50">
        <f t="shared" si="40"/>
        <v>0</v>
      </c>
      <c r="S68" s="50">
        <f t="shared" si="40"/>
        <v>0</v>
      </c>
      <c r="T68" s="50">
        <f t="shared" ref="T68:U68" si="42">SUM(T38+T49+T66)</f>
        <v>0</v>
      </c>
      <c r="U68" s="50">
        <f t="shared" si="42"/>
        <v>0</v>
      </c>
      <c r="V68" s="50">
        <f t="shared" si="40"/>
        <v>0</v>
      </c>
      <c r="W68" s="50">
        <f t="shared" si="40"/>
        <v>0</v>
      </c>
      <c r="X68" s="50">
        <f t="shared" si="40"/>
        <v>0</v>
      </c>
      <c r="Y68" s="50">
        <f t="shared" si="40"/>
        <v>0</v>
      </c>
      <c r="Z68" s="50">
        <f t="shared" si="40"/>
        <v>0</v>
      </c>
      <c r="AA68" s="50">
        <f t="shared" si="40"/>
        <v>0</v>
      </c>
      <c r="AB68" s="50">
        <f t="shared" si="40"/>
        <v>0</v>
      </c>
      <c r="AC68" s="50">
        <f t="shared" si="40"/>
        <v>0</v>
      </c>
      <c r="AD68" s="50">
        <f t="shared" si="40"/>
        <v>0</v>
      </c>
      <c r="AE68" s="50">
        <f t="shared" si="40"/>
        <v>0</v>
      </c>
      <c r="AF68" s="50">
        <f t="shared" si="40"/>
        <v>0</v>
      </c>
      <c r="AG68" s="50">
        <f t="shared" si="40"/>
        <v>0</v>
      </c>
      <c r="AH68" s="50">
        <f t="shared" si="40"/>
        <v>0</v>
      </c>
      <c r="AI68" s="50">
        <f t="shared" si="40"/>
        <v>0</v>
      </c>
      <c r="AJ68" s="50">
        <f t="shared" si="40"/>
        <v>0</v>
      </c>
      <c r="AK68" s="50">
        <f t="shared" si="40"/>
        <v>0</v>
      </c>
      <c r="AL68" s="50">
        <f t="shared" si="40"/>
        <v>0</v>
      </c>
      <c r="AM68" s="50">
        <f t="shared" ref="AM68" si="43">SUM(AM38+AM49+AM66)</f>
        <v>0</v>
      </c>
      <c r="AN68" s="50">
        <f t="shared" si="40"/>
        <v>0</v>
      </c>
      <c r="AO68" s="70"/>
      <c r="AP68" s="40">
        <f t="shared" ref="AP68:AT68" si="44">+AP66+AP49+AP38</f>
        <v>0</v>
      </c>
      <c r="AQ68" s="50">
        <f t="shared" si="44"/>
        <v>337540.76870336762</v>
      </c>
      <c r="AR68" s="40">
        <f t="shared" si="44"/>
        <v>0</v>
      </c>
      <c r="AS68" s="40">
        <f t="shared" si="44"/>
        <v>0</v>
      </c>
      <c r="AT68" s="40">
        <f t="shared" si="44"/>
        <v>800</v>
      </c>
      <c r="AU68" s="40">
        <f t="shared" ref="AU68" si="45">+AU66+AU49+AU38</f>
        <v>0</v>
      </c>
      <c r="AV68" s="40">
        <f>+AV38+AV49+AV66</f>
        <v>33750</v>
      </c>
      <c r="AW68" s="40">
        <f t="shared" ref="AW68" si="46">+AW38+AW49+AW66</f>
        <v>0</v>
      </c>
      <c r="AX68" s="40">
        <f t="shared" ref="AX68" si="47">+AX66+AX49+AX38</f>
        <v>0</v>
      </c>
      <c r="AY68" s="40">
        <f>+AY66+AY49+AY38</f>
        <v>193920</v>
      </c>
      <c r="AZ68" s="40">
        <f t="shared" ref="AZ68" si="48">+AZ66+AZ49+AZ38</f>
        <v>16637</v>
      </c>
      <c r="BA68" s="74"/>
      <c r="BB68" s="40">
        <f t="shared" ref="BB68" si="49">+BB66+BB49+BB38</f>
        <v>4884047.7687033676</v>
      </c>
      <c r="BD68" s="100">
        <f>SUM(BD38+BD49+BD66)</f>
        <v>3265609.38</v>
      </c>
      <c r="BE68" s="292">
        <f>SUM(BE49+BE38+BE66)</f>
        <v>4382931.996226415</v>
      </c>
    </row>
    <row r="69" spans="1:57">
      <c r="C69" s="47"/>
      <c r="D69" s="47"/>
      <c r="E69" s="47"/>
      <c r="F69" s="47"/>
      <c r="G69" s="47"/>
      <c r="H69" s="47"/>
      <c r="I69" s="71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67"/>
      <c r="AP69" s="38"/>
      <c r="AQ69" s="47"/>
      <c r="AR69" s="38"/>
      <c r="AS69" s="38"/>
      <c r="AT69" s="38"/>
      <c r="AU69" s="38"/>
      <c r="AV69" s="38"/>
      <c r="AW69" s="38"/>
      <c r="AX69" s="38"/>
      <c r="AY69" s="38"/>
      <c r="AZ69" s="38"/>
      <c r="BA69" s="71"/>
      <c r="BB69" s="50"/>
      <c r="BD69" s="100"/>
      <c r="BE69" s="290"/>
    </row>
    <row r="70" spans="1:57">
      <c r="A70" s="31" t="s">
        <v>310</v>
      </c>
      <c r="C70" s="47"/>
      <c r="D70" s="47"/>
      <c r="E70" s="47"/>
      <c r="F70" s="47"/>
      <c r="G70" s="47"/>
      <c r="H70" s="47"/>
      <c r="I70" s="71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67"/>
      <c r="AP70" s="38"/>
      <c r="AQ70" s="47"/>
      <c r="AR70" s="38"/>
      <c r="AS70" s="38"/>
      <c r="AT70" s="38"/>
      <c r="AU70" s="38"/>
      <c r="AV70" s="38"/>
      <c r="AW70" s="38"/>
      <c r="AX70" s="38"/>
      <c r="AY70" s="38"/>
      <c r="AZ70" s="38"/>
      <c r="BA70" s="71"/>
      <c r="BB70" s="50"/>
      <c r="BD70" s="100"/>
      <c r="BE70" s="290"/>
    </row>
    <row r="71" spans="1:57">
      <c r="A71" s="31" t="s">
        <v>311</v>
      </c>
      <c r="C71" s="47"/>
      <c r="D71" s="47"/>
      <c r="E71" s="47"/>
      <c r="F71" s="47"/>
      <c r="G71" s="47"/>
      <c r="H71" s="47"/>
      <c r="I71" s="71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67"/>
      <c r="AP71" s="38"/>
      <c r="AQ71" s="47"/>
      <c r="AR71" s="38"/>
      <c r="AS71" s="38"/>
      <c r="AT71" s="38"/>
      <c r="AU71" s="38"/>
      <c r="AV71" s="38"/>
      <c r="AW71" s="38"/>
      <c r="AX71" s="38"/>
      <c r="AY71" s="38"/>
      <c r="AZ71" s="38"/>
      <c r="BA71" s="71"/>
      <c r="BB71" s="50"/>
      <c r="BD71" s="100"/>
      <c r="BE71" s="290"/>
    </row>
    <row r="72" spans="1:57" ht="12">
      <c r="A72" s="31" t="s">
        <v>19</v>
      </c>
      <c r="B72" s="31" t="s">
        <v>320</v>
      </c>
      <c r="C72" s="47"/>
      <c r="D72" s="47">
        <f t="shared" ref="D72:D79" si="50">SUM(J72:M72)</f>
        <v>0</v>
      </c>
      <c r="E72" s="64">
        <f t="shared" ref="E72:E79" si="51">SUM(O72:AI72)</f>
        <v>0</v>
      </c>
      <c r="F72" s="64">
        <f t="shared" ref="F72:F79" si="52">SUM(AJ72:AN72)</f>
        <v>0</v>
      </c>
      <c r="G72" s="47">
        <f>SUM('13-2014 Ret Emp'!I85)</f>
        <v>73437.774300000005</v>
      </c>
      <c r="H72" s="47">
        <f>SUM('13-2014 Ret Emp'!I86)</f>
        <v>52391.095750016095</v>
      </c>
      <c r="I72" s="71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67"/>
      <c r="AP72" s="54">
        <f>SUM('AC-SVC'!C72)*AP$7</f>
        <v>0</v>
      </c>
      <c r="AQ72" s="54">
        <f>SUM('AC-SVC'!D72)</f>
        <v>0</v>
      </c>
      <c r="AR72" s="54">
        <f>SUM('AC-SVC'!G72)</f>
        <v>0</v>
      </c>
      <c r="AS72" s="54">
        <f>SUM('AC-SVC'!J72)</f>
        <v>0</v>
      </c>
      <c r="AT72" s="54">
        <f>SUM('AC-SVC'!O72)</f>
        <v>0</v>
      </c>
      <c r="AU72" s="54">
        <f>SUM('AC-SVC'!P72)*AU$7</f>
        <v>0</v>
      </c>
      <c r="AV72" s="54">
        <f>SUM(PT!E72)</f>
        <v>0</v>
      </c>
      <c r="AW72" s="54">
        <f>SUM(FC!F72)</f>
        <v>0</v>
      </c>
      <c r="AX72" s="54">
        <v>0</v>
      </c>
      <c r="AY72" s="54">
        <f>SUM(FS!F72)</f>
        <v>0</v>
      </c>
      <c r="AZ72" s="54">
        <f>SUM(IT!F72)</f>
        <v>0</v>
      </c>
      <c r="BA72" s="80"/>
      <c r="BB72" s="60">
        <f t="shared" ref="BB72:BB79" si="53">SUM(C72:H72)+SUM(AP72:AZ72)</f>
        <v>125828.87005001609</v>
      </c>
      <c r="BD72" s="101">
        <v>152166.63</v>
      </c>
      <c r="BE72" s="288">
        <f>+BB72</f>
        <v>125828.87005001609</v>
      </c>
    </row>
    <row r="73" spans="1:57" ht="12">
      <c r="A73" s="31" t="s">
        <v>12</v>
      </c>
      <c r="B73" s="31" t="s">
        <v>312</v>
      </c>
      <c r="C73" s="47"/>
      <c r="D73" s="47">
        <f t="shared" si="50"/>
        <v>163625.43018749999</v>
      </c>
      <c r="E73" s="64">
        <f t="shared" si="51"/>
        <v>783154.54269085429</v>
      </c>
      <c r="F73" s="64">
        <f t="shared" si="52"/>
        <v>229526.68247343745</v>
      </c>
      <c r="G73" s="47"/>
      <c r="H73" s="47">
        <f>SUM('AC-SCH'!D45)</f>
        <v>44546.143580393531</v>
      </c>
      <c r="I73" s="71"/>
      <c r="J73" s="47">
        <f>+'AC-SCH'!$D42</f>
        <v>41365.522687499993</v>
      </c>
      <c r="K73" s="47">
        <f>+'AC-SCH'!$D41</f>
        <v>40356.607499999998</v>
      </c>
      <c r="L73" s="47">
        <f>+'AC-SCH'!$D40</f>
        <v>39372.300000000003</v>
      </c>
      <c r="M73" s="47">
        <f>+'AC-SCH'!$D66</f>
        <v>42531</v>
      </c>
      <c r="N73" s="47"/>
      <c r="O73" s="47">
        <f>+'AC-SCH'!$D67</f>
        <v>42926</v>
      </c>
      <c r="P73" s="47">
        <f>+'AC-SCH'!$D41</f>
        <v>40356.607499999998</v>
      </c>
      <c r="Q73" s="47">
        <f>+'AC-SCH'!$D47</f>
        <v>46801.292099150945</v>
      </c>
      <c r="R73" s="47">
        <f>+'AC-SCH'!$D66</f>
        <v>42531</v>
      </c>
      <c r="S73" s="47">
        <f>+'AC-SCH'!$D67</f>
        <v>42926</v>
      </c>
      <c r="T73" s="47">
        <f>+'AC-SCH'!$D41</f>
        <v>40356.607499999998</v>
      </c>
      <c r="U73" s="47">
        <f>+'AC-SCH'!$D66</f>
        <v>42531</v>
      </c>
      <c r="V73" s="47">
        <f>+'AC-SCH'!$D40</f>
        <v>39372.300000000003</v>
      </c>
      <c r="W73" s="47">
        <f>+'AC-SCH'!$F42</f>
        <v>42365.522687499993</v>
      </c>
      <c r="X73" s="47">
        <f>+'AC-SCH'!$D67</f>
        <v>42926</v>
      </c>
      <c r="Y73" s="47">
        <f>+'AC-SCH'!$D42*0</f>
        <v>0</v>
      </c>
      <c r="Z73" s="47">
        <f>+'AC-SCH'!$D40*Z7</f>
        <v>13386.582000000002</v>
      </c>
      <c r="AA73" s="47">
        <f>+'AC-SCH'!$F41</f>
        <v>41356.607499999998</v>
      </c>
      <c r="AB73" s="47">
        <f>+'AC-SCH'!$D40*AB7</f>
        <v>12992.859000000002</v>
      </c>
      <c r="AC73" s="47">
        <f>+'AC-SCH'!$D40</f>
        <v>39372.300000000003</v>
      </c>
      <c r="AD73" s="47">
        <f>+'AC-SCH'!$D40*AD7</f>
        <v>12992.859000000002</v>
      </c>
      <c r="AE73" s="47">
        <f>SUM('13-2014 Ret Emp'!I83)</f>
        <v>40356.607499999998</v>
      </c>
      <c r="AF73" s="47">
        <f>SUM('13-2014 Ret Emp'!I84)+'AC-SCH'!F177</f>
        <v>78518.882904203099</v>
      </c>
      <c r="AG73" s="47">
        <f>+'AC-SCH'!$D41</f>
        <v>40356.607499999998</v>
      </c>
      <c r="AH73" s="47">
        <f>SUM('AC-SCH'!F41)</f>
        <v>41356.607499999998</v>
      </c>
      <c r="AI73" s="47">
        <f>+'AC-SCH'!$D40</f>
        <v>39372.300000000003</v>
      </c>
      <c r="AJ73" s="47">
        <f>+'AC-SCH'!$D42*AJ7</f>
        <v>41365.522687499993</v>
      </c>
      <c r="AK73" s="47">
        <f>+'AC-SCH'!$F43</f>
        <v>43399.660754687487</v>
      </c>
      <c r="AL73" s="47">
        <f>+'AC-SCH'!$F41</f>
        <v>41356.607499999998</v>
      </c>
      <c r="AM73" s="47">
        <f>+'AC-SCH'!$F41</f>
        <v>41356.607499999998</v>
      </c>
      <c r="AN73" s="47">
        <f>+'AC-SCH'!$D42*AN7</f>
        <v>62048.28403124999</v>
      </c>
      <c r="AO73" s="67"/>
      <c r="AP73" s="54">
        <f>SUM('AC-SVC'!C86)*AP$7</f>
        <v>0</v>
      </c>
      <c r="AQ73" s="54">
        <f>SUM('AC-SVC'!D73)</f>
        <v>0</v>
      </c>
      <c r="AR73" s="54">
        <f>SUM('AC-SVC'!G73)</f>
        <v>0</v>
      </c>
      <c r="AS73" s="54">
        <f>SUM('AC-SVC'!J73)</f>
        <v>0</v>
      </c>
      <c r="AT73" s="54">
        <f>SUM('AC-SVC'!O73)</f>
        <v>3987.2300000000005</v>
      </c>
      <c r="AU73" s="54">
        <f>SUM('AC-SVC'!P73)*AU$7</f>
        <v>0</v>
      </c>
      <c r="AV73" s="54">
        <f>SUM(PT!E73)</f>
        <v>19022.04</v>
      </c>
      <c r="AW73" s="54">
        <f>SUM(FC!F73)</f>
        <v>0</v>
      </c>
      <c r="AX73" s="54">
        <v>0</v>
      </c>
      <c r="AY73" s="54">
        <f>SUM(FS!F73)</f>
        <v>0</v>
      </c>
      <c r="AZ73" s="54">
        <f>SUM(IT!F73)</f>
        <v>0</v>
      </c>
      <c r="BA73" s="80"/>
      <c r="BB73" s="60">
        <f t="shared" si="53"/>
        <v>1243862.0689321854</v>
      </c>
      <c r="BD73" s="101">
        <v>782351.19</v>
      </c>
      <c r="BE73" s="288">
        <f>SUM(Sheet1!K73)</f>
        <v>1275019.3962264152</v>
      </c>
    </row>
    <row r="74" spans="1:57" ht="12">
      <c r="A74" s="31" t="s">
        <v>13</v>
      </c>
      <c r="B74" s="31" t="s">
        <v>313</v>
      </c>
      <c r="C74" s="47"/>
      <c r="D74" s="47">
        <f t="shared" si="50"/>
        <v>88698.072216600005</v>
      </c>
      <c r="E74" s="64">
        <f t="shared" si="51"/>
        <v>177356.82887999999</v>
      </c>
      <c r="F74" s="64">
        <f t="shared" si="52"/>
        <v>0</v>
      </c>
      <c r="G74" s="47"/>
      <c r="H74" s="47"/>
      <c r="I74" s="71"/>
      <c r="J74" s="47">
        <f>SUM('13-2014 Ret Emp'!I82)</f>
        <v>23172.150216599999</v>
      </c>
      <c r="K74" s="47">
        <f>+'AC-SCH'!$D81</f>
        <v>21841.973999999998</v>
      </c>
      <c r="L74" s="47">
        <f>+'AC-SCH'!$D81</f>
        <v>21841.973999999998</v>
      </c>
      <c r="M74" s="47">
        <f>+'AC-SCH'!$D81</f>
        <v>21841.973999999998</v>
      </c>
      <c r="N74" s="47"/>
      <c r="O74" s="47">
        <f>+'AC-SCH'!$D82</f>
        <v>22497.233219999998</v>
      </c>
      <c r="P74" s="47">
        <f>+'AC-SCH'!$D82</f>
        <v>22497.233219999998</v>
      </c>
      <c r="Q74" s="47">
        <f>+'AC-SCH'!$D82</f>
        <v>22497.233219999998</v>
      </c>
      <c r="R74" s="47">
        <f>+'AC-SCH'!$D81</f>
        <v>21841.973999999998</v>
      </c>
      <c r="S74" s="47">
        <f>+'AC-SCH'!$D81</f>
        <v>21841.973999999998</v>
      </c>
      <c r="T74" s="47">
        <f>+'AC-SCH'!$D82</f>
        <v>22497.233219999998</v>
      </c>
      <c r="U74" s="47">
        <f>+'AC-SCH'!$D81</f>
        <v>21841.973999999998</v>
      </c>
      <c r="V74" s="47">
        <f>+'AC-SCH'!$D81</f>
        <v>21841.973999999998</v>
      </c>
      <c r="W74" s="47"/>
      <c r="X74" s="47">
        <f>+'AC-SCH'!$D82*0</f>
        <v>0</v>
      </c>
      <c r="Y74" s="47">
        <f>+'AC-SCH'!$D82*0</f>
        <v>0</v>
      </c>
      <c r="Z74" s="47"/>
      <c r="AA74" s="47">
        <f>+'AC-SCH'!$D82*0</f>
        <v>0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67"/>
      <c r="AP74" s="54">
        <f>SUM('AC-SVC'!C74)*AP$7</f>
        <v>0</v>
      </c>
      <c r="AQ74" s="54">
        <f>SUM('AC-SVC'!D74)</f>
        <v>0</v>
      </c>
      <c r="AR74" s="54">
        <f>SUM('AC-SVC'!G74)</f>
        <v>0</v>
      </c>
      <c r="AS74" s="54">
        <f>SUM('AC-SVC'!J74)</f>
        <v>0</v>
      </c>
      <c r="AT74" s="54">
        <f>SUM('AC-SVC'!O74)</f>
        <v>0</v>
      </c>
      <c r="AU74" s="54">
        <f>SUM('AC-SVC'!P74)*AU$7</f>
        <v>0</v>
      </c>
      <c r="AV74" s="54">
        <f>SUM(PT!E74)</f>
        <v>0</v>
      </c>
      <c r="AW74" s="54">
        <f>SUM(FC!F74)</f>
        <v>0</v>
      </c>
      <c r="AX74" s="54">
        <v>0</v>
      </c>
      <c r="AY74" s="54">
        <f>SUM(FS!F74)</f>
        <v>0</v>
      </c>
      <c r="AZ74" s="54">
        <f>SUM(IT!F74)</f>
        <v>0</v>
      </c>
      <c r="BA74" s="80"/>
      <c r="BB74" s="60">
        <f t="shared" si="53"/>
        <v>266054.90109659999</v>
      </c>
      <c r="BD74" s="101">
        <v>155783.49</v>
      </c>
      <c r="BE74" s="288">
        <f>SUM(Sheet1!K74)</f>
        <v>258240.4075471698</v>
      </c>
    </row>
    <row r="75" spans="1:57" ht="12">
      <c r="A75" s="31" t="s">
        <v>14</v>
      </c>
      <c r="B75" s="31" t="s">
        <v>314</v>
      </c>
      <c r="C75" s="47"/>
      <c r="D75" s="47">
        <f t="shared" si="50"/>
        <v>0</v>
      </c>
      <c r="E75" s="64">
        <f t="shared" si="51"/>
        <v>0</v>
      </c>
      <c r="F75" s="64">
        <f t="shared" si="52"/>
        <v>0</v>
      </c>
      <c r="G75" s="47"/>
      <c r="H75" s="47"/>
      <c r="I75" s="71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67"/>
      <c r="AP75" s="54">
        <f>SUM('AC-SVC'!C75)*AP$7</f>
        <v>0</v>
      </c>
      <c r="AQ75" s="54">
        <f>SUM('AC-SVC'!D75)</f>
        <v>55679</v>
      </c>
      <c r="AR75" s="54">
        <f>SUM('AC-SVC'!G75)</f>
        <v>21635.520439500004</v>
      </c>
      <c r="AS75" s="54">
        <f>SUM('AC-SVC'!J75)</f>
        <v>0</v>
      </c>
      <c r="AT75" s="54">
        <f>SUM('AC-SVC'!O75)</f>
        <v>0</v>
      </c>
      <c r="AU75" s="54">
        <f>SUM('AC-SVC'!P75)*AU$7</f>
        <v>0</v>
      </c>
      <c r="AV75" s="54">
        <f>SUM(PT!E75)</f>
        <v>0</v>
      </c>
      <c r="AW75" s="54">
        <f>SUM(FC!F75)</f>
        <v>0</v>
      </c>
      <c r="AX75" s="54">
        <v>0</v>
      </c>
      <c r="AY75" s="54">
        <f>SUM(FS!F75)</f>
        <v>0</v>
      </c>
      <c r="AZ75" s="54">
        <f>SUM(IT!F75)</f>
        <v>0</v>
      </c>
      <c r="BA75" s="80"/>
      <c r="BB75" s="60">
        <f t="shared" si="53"/>
        <v>77314.520439500004</v>
      </c>
      <c r="BD75" s="101">
        <v>45289.43</v>
      </c>
      <c r="BE75" s="288">
        <f>SUM(Sheet1!K75)</f>
        <v>66058.456603773579</v>
      </c>
    </row>
    <row r="76" spans="1:57" ht="12">
      <c r="A76" s="31" t="s">
        <v>15</v>
      </c>
      <c r="B76" s="31" t="s">
        <v>315</v>
      </c>
      <c r="C76" s="47"/>
      <c r="D76" s="47">
        <f t="shared" si="50"/>
        <v>0</v>
      </c>
      <c r="E76" s="64">
        <f t="shared" si="51"/>
        <v>0</v>
      </c>
      <c r="F76" s="64">
        <f t="shared" si="52"/>
        <v>0</v>
      </c>
      <c r="G76" s="47"/>
      <c r="H76" s="47"/>
      <c r="I76" s="71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67"/>
      <c r="AP76" s="54">
        <f>SUM('AC-SVC'!C76)*AP$7</f>
        <v>0</v>
      </c>
      <c r="AQ76" s="54">
        <f>SUM('AC-SVC'!D76)</f>
        <v>0</v>
      </c>
      <c r="AR76" s="54">
        <f>SUM('AC-SVC'!G76)</f>
        <v>0</v>
      </c>
      <c r="AS76" s="54">
        <f>SUM('AC-SVC'!J76)</f>
        <v>52453</v>
      </c>
      <c r="AT76" s="54">
        <f>SUM('AC-SVC'!O76)</f>
        <v>0</v>
      </c>
      <c r="AU76" s="54">
        <f>SUM('AC-SVC'!P76)*AU$7</f>
        <v>0</v>
      </c>
      <c r="AV76" s="54">
        <f>SUM(PT!E76)</f>
        <v>0</v>
      </c>
      <c r="AW76" s="54">
        <f>SUM(FC!F76)</f>
        <v>0</v>
      </c>
      <c r="AX76" s="54">
        <v>0</v>
      </c>
      <c r="AY76" s="54">
        <f>SUM(FS!F76)</f>
        <v>0</v>
      </c>
      <c r="AZ76" s="54">
        <f>SUM(IT!F76)</f>
        <v>0</v>
      </c>
      <c r="BA76" s="80"/>
      <c r="BB76" s="60">
        <f t="shared" si="53"/>
        <v>52453</v>
      </c>
      <c r="BD76" s="101">
        <v>26981.84</v>
      </c>
      <c r="BE76" s="288">
        <f>SUM(Sheet1!K76)</f>
        <v>37546.879245283017</v>
      </c>
    </row>
    <row r="77" spans="1:57" ht="12">
      <c r="A77" s="31" t="s">
        <v>16</v>
      </c>
      <c r="B77" s="31" t="s">
        <v>316</v>
      </c>
      <c r="C77" s="47"/>
      <c r="D77" s="47">
        <f t="shared" si="50"/>
        <v>0</v>
      </c>
      <c r="E77" s="64">
        <f t="shared" si="51"/>
        <v>0</v>
      </c>
      <c r="F77" s="64">
        <f t="shared" si="52"/>
        <v>0</v>
      </c>
      <c r="G77" s="47">
        <f>+'STF-SCH'!D29+'STF-SCH'!D44</f>
        <v>54089.986499999999</v>
      </c>
      <c r="H77" s="47"/>
      <c r="I77" s="71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67"/>
      <c r="AP77" s="54">
        <f>SUM('AC-SVC'!C77)*AP$7</f>
        <v>0</v>
      </c>
      <c r="AQ77" s="54">
        <f>SUM('AC-SVC'!D77)</f>
        <v>0</v>
      </c>
      <c r="AR77" s="54">
        <f>SUM('AC-SVC'!G77)</f>
        <v>0</v>
      </c>
      <c r="AS77" s="54">
        <f>SUM('AC-SVC'!J77)</f>
        <v>0</v>
      </c>
      <c r="AT77" s="54">
        <f>SUM('AC-SVC'!O77)</f>
        <v>0</v>
      </c>
      <c r="AU77" s="54">
        <f>SUM('AC-SVC'!P77)*AU$7</f>
        <v>0</v>
      </c>
      <c r="AV77" s="54">
        <f>SUM(PT!E77)</f>
        <v>0</v>
      </c>
      <c r="AW77" s="54">
        <f>SUM(FC!F77)</f>
        <v>0</v>
      </c>
      <c r="AX77" s="54">
        <v>0</v>
      </c>
      <c r="AY77" s="54">
        <f>SUM(FS!F77)</f>
        <v>0</v>
      </c>
      <c r="AZ77" s="54">
        <f>SUM(IT!F77)</f>
        <v>0</v>
      </c>
      <c r="BA77" s="80"/>
      <c r="BB77" s="60">
        <f t="shared" si="53"/>
        <v>54089.986499999999</v>
      </c>
      <c r="BD77" s="101">
        <v>36344.46</v>
      </c>
      <c r="BE77" s="288">
        <f>SUM(Sheet1!K77)</f>
        <v>55548.822641509432</v>
      </c>
    </row>
    <row r="78" spans="1:57" ht="12">
      <c r="A78" s="31" t="s">
        <v>17</v>
      </c>
      <c r="B78" s="31" t="s">
        <v>317</v>
      </c>
      <c r="C78" s="47"/>
      <c r="D78" s="47">
        <f t="shared" si="50"/>
        <v>0</v>
      </c>
      <c r="E78" s="64">
        <f t="shared" si="51"/>
        <v>0</v>
      </c>
      <c r="F78" s="64">
        <f t="shared" si="52"/>
        <v>0</v>
      </c>
      <c r="G78" s="47"/>
      <c r="H78" s="47"/>
      <c r="I78" s="71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67"/>
      <c r="AP78" s="54">
        <f>SUM('AC-SVC'!C78)*AP$7</f>
        <v>0</v>
      </c>
      <c r="AQ78" s="54">
        <f>SUM('AC-SVC'!D78)</f>
        <v>0</v>
      </c>
      <c r="AR78" s="54">
        <f>SUM('AC-SVC'!G78)</f>
        <v>0</v>
      </c>
      <c r="AS78" s="54">
        <f>SUM('AC-SVC'!J78)</f>
        <v>0</v>
      </c>
      <c r="AT78" s="54">
        <f>SUM('AC-SVC'!O78)</f>
        <v>0</v>
      </c>
      <c r="AU78" s="54">
        <f>SUM('AC-SVC'!P78)*AU$7</f>
        <v>0</v>
      </c>
      <c r="AV78" s="54">
        <f>SUM(PT!E78)</f>
        <v>0</v>
      </c>
      <c r="AW78" s="54">
        <f>SUM(FC!F78)</f>
        <v>56472</v>
      </c>
      <c r="AX78" s="54">
        <v>0</v>
      </c>
      <c r="AY78" s="54">
        <f>SUM(FS!F78)</f>
        <v>84962.14094779591</v>
      </c>
      <c r="AZ78" s="54">
        <f>SUM(IT!F78)</f>
        <v>0</v>
      </c>
      <c r="BA78" s="80"/>
      <c r="BB78" s="60">
        <f t="shared" si="53"/>
        <v>141434.14094779591</v>
      </c>
      <c r="BD78" s="101">
        <v>51608.9</v>
      </c>
      <c r="BE78" s="288">
        <f>SUM(Sheet1!K78)</f>
        <v>99070.811320754729</v>
      </c>
    </row>
    <row r="79" spans="1:57" ht="14.25" customHeight="1">
      <c r="A79" s="31" t="s">
        <v>18</v>
      </c>
      <c r="B79" s="31" t="s">
        <v>319</v>
      </c>
      <c r="C79" s="48"/>
      <c r="D79" s="48">
        <f t="shared" si="50"/>
        <v>0</v>
      </c>
      <c r="E79" s="48">
        <f t="shared" si="51"/>
        <v>0</v>
      </c>
      <c r="F79" s="48">
        <f t="shared" si="52"/>
        <v>0</v>
      </c>
      <c r="G79" s="48"/>
      <c r="H79" s="48"/>
      <c r="I79" s="73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67"/>
      <c r="AP79" s="39">
        <f>SUM('AC-SVC'!C79)*AP$7</f>
        <v>0</v>
      </c>
      <c r="AQ79" s="39">
        <f>SUM('AC-SVC'!D79)</f>
        <v>0</v>
      </c>
      <c r="AR79" s="39">
        <f>SUM('AC-SVC'!G79)</f>
        <v>0</v>
      </c>
      <c r="AS79" s="39">
        <f>SUM('AC-SVC'!J79)</f>
        <v>0</v>
      </c>
      <c r="AT79" s="39">
        <f>SUM('AC-SVC'!O79)</f>
        <v>0</v>
      </c>
      <c r="AU79" s="39">
        <f>SUM('AC-SVC'!P79)*AU$7</f>
        <v>0</v>
      </c>
      <c r="AV79" s="39">
        <f>SUM(PT!E79)</f>
        <v>0</v>
      </c>
      <c r="AW79" s="39">
        <f>SUM(FC!F79)</f>
        <v>45566</v>
      </c>
      <c r="AX79" s="39">
        <v>0</v>
      </c>
      <c r="AY79" s="39">
        <f>SUM(FS!F79)</f>
        <v>0</v>
      </c>
      <c r="AZ79" s="39">
        <f>SUM(IT!F79)</f>
        <v>0</v>
      </c>
      <c r="BA79" s="73"/>
      <c r="BB79" s="59">
        <f t="shared" si="53"/>
        <v>45566</v>
      </c>
      <c r="BD79" s="102">
        <v>17853.509999999998</v>
      </c>
      <c r="BE79" s="288">
        <f>+BB79</f>
        <v>45566</v>
      </c>
    </row>
    <row r="80" spans="1:57" ht="10">
      <c r="B80" s="31" t="s">
        <v>24</v>
      </c>
      <c r="C80" s="47">
        <f>SUM(C72:C79)</f>
        <v>0</v>
      </c>
      <c r="D80" s="47">
        <f t="shared" ref="D80:H80" si="54">SUM(D72:D79)</f>
        <v>252323.5024041</v>
      </c>
      <c r="E80" s="47">
        <f t="shared" si="54"/>
        <v>960511.37157085421</v>
      </c>
      <c r="F80" s="47">
        <f t="shared" si="54"/>
        <v>229526.68247343745</v>
      </c>
      <c r="G80" s="47">
        <f t="shared" si="54"/>
        <v>127527.7608</v>
      </c>
      <c r="H80" s="47">
        <f t="shared" si="54"/>
        <v>96937.239330409619</v>
      </c>
      <c r="I80" s="71"/>
      <c r="J80" s="47">
        <f t="shared" ref="J80:AN80" si="55">SUM(J72:J79)</f>
        <v>64537.672904099993</v>
      </c>
      <c r="K80" s="47">
        <f t="shared" si="55"/>
        <v>62198.5815</v>
      </c>
      <c r="L80" s="47">
        <f t="shared" si="55"/>
        <v>61214.274000000005</v>
      </c>
      <c r="M80" s="47">
        <f t="shared" si="55"/>
        <v>64372.974000000002</v>
      </c>
      <c r="N80" s="47"/>
      <c r="O80" s="47">
        <f t="shared" si="55"/>
        <v>65423.233219999995</v>
      </c>
      <c r="P80" s="47">
        <f t="shared" ref="P80" si="56">SUM(P72:P79)</f>
        <v>62853.840719999993</v>
      </c>
      <c r="Q80" s="47">
        <f t="shared" si="55"/>
        <v>69298.52531915094</v>
      </c>
      <c r="R80" s="47">
        <f t="shared" si="55"/>
        <v>64372.974000000002</v>
      </c>
      <c r="S80" s="47">
        <f t="shared" si="55"/>
        <v>64767.974000000002</v>
      </c>
      <c r="T80" s="47">
        <f t="shared" ref="T80:U80" si="57">SUM(T72:T79)</f>
        <v>62853.840719999993</v>
      </c>
      <c r="U80" s="47">
        <f t="shared" si="57"/>
        <v>64372.974000000002</v>
      </c>
      <c r="V80" s="47">
        <f t="shared" si="55"/>
        <v>61214.274000000005</v>
      </c>
      <c r="W80" s="47">
        <f t="shared" si="55"/>
        <v>42365.522687499993</v>
      </c>
      <c r="X80" s="47">
        <f t="shared" si="55"/>
        <v>42926</v>
      </c>
      <c r="Y80" s="47">
        <f t="shared" si="55"/>
        <v>0</v>
      </c>
      <c r="Z80" s="47">
        <f t="shared" si="55"/>
        <v>13386.582000000002</v>
      </c>
      <c r="AA80" s="47">
        <f t="shared" si="55"/>
        <v>41356.607499999998</v>
      </c>
      <c r="AB80" s="47">
        <f t="shared" si="55"/>
        <v>12992.859000000002</v>
      </c>
      <c r="AC80" s="47">
        <f t="shared" si="55"/>
        <v>39372.300000000003</v>
      </c>
      <c r="AD80" s="47">
        <f t="shared" si="55"/>
        <v>12992.859000000002</v>
      </c>
      <c r="AE80" s="47">
        <f t="shared" si="55"/>
        <v>40356.607499999998</v>
      </c>
      <c r="AF80" s="47">
        <f t="shared" si="55"/>
        <v>78518.882904203099</v>
      </c>
      <c r="AG80" s="47">
        <f t="shared" si="55"/>
        <v>40356.607499999998</v>
      </c>
      <c r="AH80" s="47">
        <f t="shared" si="55"/>
        <v>41356.607499999998</v>
      </c>
      <c r="AI80" s="47">
        <f t="shared" si="55"/>
        <v>39372.300000000003</v>
      </c>
      <c r="AJ80" s="47">
        <f t="shared" si="55"/>
        <v>41365.522687499993</v>
      </c>
      <c r="AK80" s="47">
        <f t="shared" si="55"/>
        <v>43399.660754687487</v>
      </c>
      <c r="AL80" s="47">
        <f t="shared" si="55"/>
        <v>41356.607499999998</v>
      </c>
      <c r="AM80" s="47">
        <f t="shared" ref="AM80" si="58">SUM(AM72:AM79)</f>
        <v>41356.607499999998</v>
      </c>
      <c r="AN80" s="47">
        <f t="shared" si="55"/>
        <v>62048.28403124999</v>
      </c>
      <c r="AO80" s="67"/>
      <c r="AP80" s="47">
        <f t="shared" ref="AP80:AU80" si="59">SUM(AP72:AP79)</f>
        <v>0</v>
      </c>
      <c r="AQ80" s="47">
        <f t="shared" si="59"/>
        <v>55679</v>
      </c>
      <c r="AR80" s="47">
        <f t="shared" si="59"/>
        <v>21635.520439500004</v>
      </c>
      <c r="AS80" s="47">
        <f t="shared" si="59"/>
        <v>52453</v>
      </c>
      <c r="AT80" s="47">
        <f t="shared" si="59"/>
        <v>3987.2300000000005</v>
      </c>
      <c r="AU80" s="47">
        <f t="shared" si="59"/>
        <v>0</v>
      </c>
      <c r="AV80" s="38">
        <f>+SUM(AV72:AV79)</f>
        <v>19022.04</v>
      </c>
      <c r="AW80" s="38">
        <f>+SUM(AW72:AW79)</f>
        <v>102038</v>
      </c>
      <c r="AX80" s="38">
        <f t="shared" ref="AX80" si="60">+SUM(AX72:AX79)</f>
        <v>0</v>
      </c>
      <c r="AY80" s="38">
        <f>+SUM(AY72:AY79)</f>
        <v>84962.14094779591</v>
      </c>
      <c r="AZ80" s="38">
        <f t="shared" ref="AZ80" si="61">+SUM(AZ72:AZ79)</f>
        <v>0</v>
      </c>
      <c r="BA80" s="71"/>
      <c r="BB80" s="50">
        <f>SUM(BB72:BB79)</f>
        <v>2006603.4879660974</v>
      </c>
      <c r="BD80" s="100">
        <f>SUM(BD72:BD79)</f>
        <v>1268379.45</v>
      </c>
      <c r="BE80" s="293">
        <f>SUM(BE72:BE79)</f>
        <v>1962879.6436349219</v>
      </c>
    </row>
    <row r="81" spans="1:57">
      <c r="C81" s="47"/>
      <c r="D81" s="47"/>
      <c r="E81" s="47"/>
      <c r="F81" s="47"/>
      <c r="G81" s="47"/>
      <c r="H81" s="47"/>
      <c r="I81" s="71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67"/>
      <c r="AP81" s="38"/>
      <c r="AQ81" s="47"/>
      <c r="AR81" s="38"/>
      <c r="AS81" s="38"/>
      <c r="AT81" s="38"/>
      <c r="AU81" s="38"/>
      <c r="AV81" s="38"/>
      <c r="AW81" s="38"/>
      <c r="AX81" s="38"/>
      <c r="AY81" s="38"/>
      <c r="AZ81" s="38"/>
      <c r="BA81" s="71"/>
      <c r="BB81" s="50"/>
      <c r="BD81" s="100"/>
      <c r="BE81" s="290"/>
    </row>
    <row r="82" spans="1:57">
      <c r="C82" s="47"/>
      <c r="D82" s="47"/>
      <c r="E82" s="47"/>
      <c r="F82" s="47"/>
      <c r="G82" s="47"/>
      <c r="H82" s="47"/>
      <c r="I82" s="71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67"/>
      <c r="AP82" s="38"/>
      <c r="AQ82" s="47"/>
      <c r="AR82" s="38"/>
      <c r="AS82" s="38"/>
      <c r="AT82" s="38"/>
      <c r="AU82" s="38"/>
      <c r="AV82" s="38"/>
      <c r="AW82" s="38"/>
      <c r="AX82" s="38"/>
      <c r="AY82" s="38"/>
      <c r="AZ82" s="38"/>
      <c r="BA82" s="71"/>
      <c r="BB82" s="50"/>
      <c r="BD82" s="100"/>
      <c r="BE82" s="290"/>
    </row>
    <row r="83" spans="1:57">
      <c r="A83" s="36" t="s">
        <v>322</v>
      </c>
      <c r="C83" s="47"/>
      <c r="D83" s="47"/>
      <c r="E83" s="47"/>
      <c r="F83" s="47"/>
      <c r="G83" s="47"/>
      <c r="H83" s="47"/>
      <c r="I83" s="71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67"/>
      <c r="AP83" s="38"/>
      <c r="AQ83" s="47"/>
      <c r="AR83" s="38"/>
      <c r="AS83" s="38"/>
      <c r="AT83" s="38"/>
      <c r="AU83" s="38"/>
      <c r="AV83" s="38"/>
      <c r="AW83" s="38"/>
      <c r="AX83" s="38"/>
      <c r="AY83" s="38"/>
      <c r="AZ83" s="38"/>
      <c r="BA83" s="71"/>
      <c r="BB83" s="50"/>
      <c r="BD83" s="100"/>
      <c r="BE83" s="290"/>
    </row>
    <row r="84" spans="1:57" ht="12">
      <c r="A84" s="31" t="s">
        <v>20</v>
      </c>
      <c r="B84" s="31" t="s">
        <v>321</v>
      </c>
      <c r="C84" s="47"/>
      <c r="D84" s="47">
        <f>SUM(J84:M84)</f>
        <v>4200</v>
      </c>
      <c r="E84" s="64">
        <f>SUM(O84:AI84)</f>
        <v>19950</v>
      </c>
      <c r="F84" s="64">
        <f t="shared" ref="F84:F87" si="62">SUM(AJ84:AN84)</f>
        <v>5775</v>
      </c>
      <c r="G84" s="47"/>
      <c r="H84" s="47"/>
      <c r="I84" s="71"/>
      <c r="J84" s="47">
        <f>150*7</f>
        <v>1050</v>
      </c>
      <c r="K84" s="47">
        <f t="shared" ref="K84:X84" si="63">150*7</f>
        <v>1050</v>
      </c>
      <c r="L84" s="47">
        <f t="shared" si="63"/>
        <v>1050</v>
      </c>
      <c r="M84" s="47">
        <f t="shared" si="63"/>
        <v>1050</v>
      </c>
      <c r="N84" s="47"/>
      <c r="O84" s="47">
        <f t="shared" si="63"/>
        <v>1050</v>
      </c>
      <c r="P84" s="47">
        <f t="shared" si="63"/>
        <v>1050</v>
      </c>
      <c r="Q84" s="47">
        <f t="shared" si="63"/>
        <v>1050</v>
      </c>
      <c r="R84" s="47">
        <f t="shared" si="63"/>
        <v>1050</v>
      </c>
      <c r="S84" s="47">
        <f t="shared" si="63"/>
        <v>1050</v>
      </c>
      <c r="T84" s="47">
        <f t="shared" si="63"/>
        <v>1050</v>
      </c>
      <c r="U84" s="47">
        <f t="shared" si="63"/>
        <v>1050</v>
      </c>
      <c r="V84" s="47">
        <f t="shared" si="63"/>
        <v>1050</v>
      </c>
      <c r="W84" s="47">
        <f t="shared" si="63"/>
        <v>1050</v>
      </c>
      <c r="X84" s="47">
        <f t="shared" si="63"/>
        <v>1050</v>
      </c>
      <c r="Y84" s="47">
        <f t="shared" ref="Y84:AN84" si="64">150*7*Y7</f>
        <v>0</v>
      </c>
      <c r="Z84" s="47">
        <f t="shared" si="64"/>
        <v>357</v>
      </c>
      <c r="AA84" s="47">
        <f t="shared" si="64"/>
        <v>1050</v>
      </c>
      <c r="AB84" s="47">
        <f t="shared" si="64"/>
        <v>346.5</v>
      </c>
      <c r="AC84" s="47">
        <f t="shared" si="64"/>
        <v>1050</v>
      </c>
      <c r="AD84" s="47">
        <f t="shared" si="64"/>
        <v>346.5</v>
      </c>
      <c r="AE84" s="47">
        <f>150*7</f>
        <v>1050</v>
      </c>
      <c r="AF84" s="47">
        <f t="shared" si="64"/>
        <v>2100</v>
      </c>
      <c r="AG84" s="47">
        <f t="shared" ref="AG84:AM84" si="65">150*7</f>
        <v>1050</v>
      </c>
      <c r="AH84" s="47">
        <f t="shared" si="65"/>
        <v>1050</v>
      </c>
      <c r="AI84" s="47">
        <f t="shared" si="65"/>
        <v>1050</v>
      </c>
      <c r="AJ84" s="47">
        <f t="shared" si="65"/>
        <v>1050</v>
      </c>
      <c r="AK84" s="47">
        <f t="shared" si="65"/>
        <v>1050</v>
      </c>
      <c r="AL84" s="47">
        <f t="shared" si="65"/>
        <v>1050</v>
      </c>
      <c r="AM84" s="47">
        <f t="shared" si="65"/>
        <v>1050</v>
      </c>
      <c r="AN84" s="47">
        <f t="shared" si="64"/>
        <v>1575</v>
      </c>
      <c r="AO84" s="67"/>
      <c r="AP84" s="54">
        <f>SUM('AC-SVC'!C84)*AP$7</f>
        <v>0</v>
      </c>
      <c r="AQ84" s="54">
        <f>SUM('AC-SVC'!D84)</f>
        <v>0</v>
      </c>
      <c r="AR84" s="54">
        <f>SUM('AC-SVC'!G84)</f>
        <v>0</v>
      </c>
      <c r="AS84" s="54">
        <f>SUM('AC-SVC'!J84)</f>
        <v>0</v>
      </c>
      <c r="AT84" s="54">
        <f>SUM('AC-SVC'!O84)</f>
        <v>0</v>
      </c>
      <c r="AU84" s="54">
        <f>SUM('AC-SVC'!P84)*AU$7</f>
        <v>0</v>
      </c>
      <c r="AV84" s="54">
        <f>SUM(PT!E84)</f>
        <v>0</v>
      </c>
      <c r="AW84" s="54">
        <f>SUM(FC!F84)</f>
        <v>0</v>
      </c>
      <c r="AX84" s="54">
        <v>0</v>
      </c>
      <c r="AY84" s="54">
        <f>SUM(FS!F84)</f>
        <v>2800</v>
      </c>
      <c r="AZ84" s="54">
        <f>SUM(IT!F84)</f>
        <v>0</v>
      </c>
      <c r="BA84" s="80"/>
      <c r="BB84" s="60">
        <f>SUM(C84:H84)+SUM(AP84:AZ84)</f>
        <v>32725</v>
      </c>
      <c r="BD84" s="101">
        <v>36579.53</v>
      </c>
      <c r="BE84" s="288">
        <f>SUM(Sheet1!K84)</f>
        <v>16067.215094339623</v>
      </c>
    </row>
    <row r="85" spans="1:57" ht="12">
      <c r="A85" s="31" t="s">
        <v>21</v>
      </c>
      <c r="B85" s="31" t="s">
        <v>322</v>
      </c>
      <c r="C85" s="47">
        <v>3000</v>
      </c>
      <c r="D85" s="47">
        <f>SUM(J85:M85)</f>
        <v>0</v>
      </c>
      <c r="E85" s="64">
        <f>SUM(O85:AI85)</f>
        <v>0</v>
      </c>
      <c r="F85" s="64">
        <f t="shared" si="62"/>
        <v>0</v>
      </c>
      <c r="G85" s="47"/>
      <c r="H85" s="47"/>
      <c r="I85" s="71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67"/>
      <c r="AP85" s="54">
        <f>SUM('AC-SVC'!C85)*AP$7</f>
        <v>0</v>
      </c>
      <c r="AQ85" s="54">
        <f>SUM('AC-SVC'!D85)</f>
        <v>0</v>
      </c>
      <c r="AR85" s="54">
        <f>SUM('AC-SVC'!G85)</f>
        <v>0</v>
      </c>
      <c r="AS85" s="54">
        <f>SUM('AC-SVC'!J85)</f>
        <v>0</v>
      </c>
      <c r="AT85" s="54">
        <f>SUM('AC-SVC'!O85)</f>
        <v>0</v>
      </c>
      <c r="AU85" s="54">
        <f>SUM('AC-SVC'!P85)*AU$7</f>
        <v>0</v>
      </c>
      <c r="AV85" s="54">
        <f>SUM(PT!E85)</f>
        <v>0</v>
      </c>
      <c r="AW85" s="54">
        <f>SUM(FC!F85)</f>
        <v>35000</v>
      </c>
      <c r="AX85" s="54">
        <v>0</v>
      </c>
      <c r="AY85" s="54">
        <f>SUM(FS!F85)</f>
        <v>3000</v>
      </c>
      <c r="AZ85" s="54">
        <f>SUM(IT!F85)</f>
        <v>0</v>
      </c>
      <c r="BA85" s="80"/>
      <c r="BB85" s="60">
        <f>SUM(C85:H85)+SUM(AP85:AZ85)</f>
        <v>41000</v>
      </c>
      <c r="BD85" s="101">
        <v>178.5</v>
      </c>
      <c r="BE85" s="288">
        <f>SUM(Sheet1!K85)</f>
        <v>348.67924528301887</v>
      </c>
    </row>
    <row r="86" spans="1:57" ht="12">
      <c r="A86" s="31" t="s">
        <v>406</v>
      </c>
      <c r="B86" s="31" t="s">
        <v>407</v>
      </c>
      <c r="C86" s="47"/>
      <c r="D86" s="47"/>
      <c r="E86" s="64">
        <f>SUM(O86:AI86)</f>
        <v>0</v>
      </c>
      <c r="F86" s="64">
        <f t="shared" si="62"/>
        <v>0</v>
      </c>
      <c r="G86" s="47"/>
      <c r="H86" s="47"/>
      <c r="I86" s="71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67"/>
      <c r="AP86" s="54">
        <f>SUM('AC-SVC'!C86)*AP$7</f>
        <v>0</v>
      </c>
      <c r="AQ86" s="54">
        <f>SUM('AC-SVC'!D86)</f>
        <v>0</v>
      </c>
      <c r="AR86" s="54">
        <f>SUM('AC-SVC'!G86)</f>
        <v>0</v>
      </c>
      <c r="AS86" s="54">
        <f>SUM('AC-SVC'!J86)</f>
        <v>0</v>
      </c>
      <c r="AT86" s="54">
        <f>SUM('AC-SVC'!O86)</f>
        <v>0</v>
      </c>
      <c r="AU86" s="54">
        <f>SUM('AC-SVC'!P86)*AU$7</f>
        <v>0</v>
      </c>
      <c r="AV86" s="54">
        <f>SUM(PT!E86)</f>
        <v>0</v>
      </c>
      <c r="AW86" s="54">
        <f>SUM(FC!F86)</f>
        <v>0</v>
      </c>
      <c r="AX86" s="54">
        <v>0</v>
      </c>
      <c r="AY86" s="54">
        <f>SUM(FS!F86)</f>
        <v>0</v>
      </c>
      <c r="AZ86" s="54">
        <f>SUM(IT!F86)</f>
        <v>0</v>
      </c>
      <c r="BA86" s="80"/>
      <c r="BB86" s="60">
        <f>SUM(C86:H86)+SUM(AP86:AZ86)</f>
        <v>0</v>
      </c>
      <c r="BD86" s="101"/>
      <c r="BE86" s="288">
        <f>SUM(Sheet1!K86)</f>
        <v>0</v>
      </c>
    </row>
    <row r="87" spans="1:57" ht="12">
      <c r="A87" s="31" t="s">
        <v>22</v>
      </c>
      <c r="B87" s="31" t="s">
        <v>23</v>
      </c>
      <c r="C87" s="48">
        <v>7500</v>
      </c>
      <c r="D87" s="48">
        <f>SUM(J87:M87)</f>
        <v>6000</v>
      </c>
      <c r="E87" s="48">
        <f>SUM(O87:AI87)</f>
        <v>24000</v>
      </c>
      <c r="F87" s="48">
        <f t="shared" si="62"/>
        <v>0</v>
      </c>
      <c r="G87" s="48">
        <v>0</v>
      </c>
      <c r="H87" s="48"/>
      <c r="I87" s="73"/>
      <c r="J87" s="48">
        <v>0</v>
      </c>
      <c r="K87" s="48">
        <v>0</v>
      </c>
      <c r="L87" s="48">
        <v>0</v>
      </c>
      <c r="M87" s="48">
        <v>6000</v>
      </c>
      <c r="N87" s="48"/>
      <c r="O87" s="48">
        <v>4000</v>
      </c>
      <c r="P87" s="48"/>
      <c r="Q87" s="48"/>
      <c r="R87" s="48">
        <v>6000</v>
      </c>
      <c r="S87" s="48">
        <v>4000</v>
      </c>
      <c r="T87" s="48"/>
      <c r="U87" s="48">
        <v>6000</v>
      </c>
      <c r="V87" s="48"/>
      <c r="W87" s="48"/>
      <c r="X87" s="48">
        <v>4000</v>
      </c>
      <c r="Y87" s="48">
        <v>0</v>
      </c>
      <c r="Z87" s="48"/>
      <c r="AA87" s="48">
        <v>0</v>
      </c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67"/>
      <c r="AP87" s="39">
        <f>SUM('AC-SVC'!C87)*AP$7</f>
        <v>0</v>
      </c>
      <c r="AQ87" s="39">
        <f>SUM('AC-SVC'!D87)</f>
        <v>0</v>
      </c>
      <c r="AR87" s="39">
        <f>SUM('AC-SVC'!G87)</f>
        <v>0</v>
      </c>
      <c r="AS87" s="39">
        <f>SUM('AC-SVC'!J87)</f>
        <v>0</v>
      </c>
      <c r="AT87" s="39">
        <f>SUM('AC-SVC'!O87)</f>
        <v>0</v>
      </c>
      <c r="AU87" s="39">
        <f>SUM('AC-SVC'!P87)*AU$7</f>
        <v>0</v>
      </c>
      <c r="AV87" s="39">
        <f>SUM(PT!E87)</f>
        <v>0</v>
      </c>
      <c r="AW87" s="39">
        <f>SUM(FC!F87)</f>
        <v>2500</v>
      </c>
      <c r="AX87" s="39">
        <v>0</v>
      </c>
      <c r="AY87" s="39">
        <f>SUM(FS!F87)</f>
        <v>0</v>
      </c>
      <c r="AZ87" s="39">
        <f>SUM(IT!F87)</f>
        <v>0</v>
      </c>
      <c r="BA87" s="73"/>
      <c r="BB87" s="59">
        <f>SUM(C87:H87)+SUM(AP87:AZ87)</f>
        <v>40000</v>
      </c>
      <c r="BD87" s="102">
        <v>13351.79</v>
      </c>
      <c r="BE87" s="288">
        <f>SUM(Sheet1!K87)</f>
        <v>15385.581132075473</v>
      </c>
    </row>
    <row r="88" spans="1:57" ht="10">
      <c r="B88" s="31" t="s">
        <v>323</v>
      </c>
      <c r="C88" s="47">
        <f>SUM(C84:C87)</f>
        <v>10500</v>
      </c>
      <c r="D88" s="47">
        <f t="shared" ref="D88:H88" si="66">SUM(D84:D87)</f>
        <v>10200</v>
      </c>
      <c r="E88" s="47">
        <f t="shared" si="66"/>
        <v>43950</v>
      </c>
      <c r="F88" s="47">
        <f t="shared" si="66"/>
        <v>5775</v>
      </c>
      <c r="G88" s="47">
        <f t="shared" si="66"/>
        <v>0</v>
      </c>
      <c r="H88" s="47">
        <f t="shared" si="66"/>
        <v>0</v>
      </c>
      <c r="I88" s="71"/>
      <c r="J88" s="47">
        <f>SUM(J84:J87)</f>
        <v>1050</v>
      </c>
      <c r="K88" s="47">
        <f t="shared" ref="K88:AN88" si="67">SUM(K84:K87)</f>
        <v>1050</v>
      </c>
      <c r="L88" s="47">
        <f t="shared" si="67"/>
        <v>1050</v>
      </c>
      <c r="M88" s="47">
        <f t="shared" si="67"/>
        <v>7050</v>
      </c>
      <c r="N88" s="47"/>
      <c r="O88" s="47">
        <f t="shared" si="67"/>
        <v>5050</v>
      </c>
      <c r="P88" s="47">
        <f t="shared" ref="P88" si="68">SUM(P84:P87)</f>
        <v>1050</v>
      </c>
      <c r="Q88" s="47">
        <f t="shared" si="67"/>
        <v>1050</v>
      </c>
      <c r="R88" s="47">
        <f t="shared" si="67"/>
        <v>7050</v>
      </c>
      <c r="S88" s="47">
        <f t="shared" si="67"/>
        <v>5050</v>
      </c>
      <c r="T88" s="47">
        <f t="shared" ref="T88:U88" si="69">SUM(T84:T87)</f>
        <v>1050</v>
      </c>
      <c r="U88" s="47">
        <f t="shared" si="69"/>
        <v>7050</v>
      </c>
      <c r="V88" s="47">
        <f t="shared" si="67"/>
        <v>1050</v>
      </c>
      <c r="W88" s="47">
        <f t="shared" si="67"/>
        <v>1050</v>
      </c>
      <c r="X88" s="47">
        <f t="shared" si="67"/>
        <v>5050</v>
      </c>
      <c r="Y88" s="47">
        <f t="shared" si="67"/>
        <v>0</v>
      </c>
      <c r="Z88" s="47">
        <f t="shared" si="67"/>
        <v>357</v>
      </c>
      <c r="AA88" s="47">
        <f t="shared" si="67"/>
        <v>1050</v>
      </c>
      <c r="AB88" s="47">
        <f t="shared" si="67"/>
        <v>346.5</v>
      </c>
      <c r="AC88" s="47">
        <f t="shared" si="67"/>
        <v>1050</v>
      </c>
      <c r="AD88" s="47">
        <f t="shared" si="67"/>
        <v>346.5</v>
      </c>
      <c r="AE88" s="47">
        <f t="shared" si="67"/>
        <v>1050</v>
      </c>
      <c r="AF88" s="47">
        <f t="shared" si="67"/>
        <v>2100</v>
      </c>
      <c r="AG88" s="47">
        <f t="shared" si="67"/>
        <v>1050</v>
      </c>
      <c r="AH88" s="47">
        <f t="shared" si="67"/>
        <v>1050</v>
      </c>
      <c r="AI88" s="47">
        <f t="shared" si="67"/>
        <v>1050</v>
      </c>
      <c r="AJ88" s="47">
        <f t="shared" si="67"/>
        <v>1050</v>
      </c>
      <c r="AK88" s="47">
        <f t="shared" si="67"/>
        <v>1050</v>
      </c>
      <c r="AL88" s="47">
        <f t="shared" si="67"/>
        <v>1050</v>
      </c>
      <c r="AM88" s="47">
        <f t="shared" ref="AM88" si="70">SUM(AM84:AM87)</f>
        <v>1050</v>
      </c>
      <c r="AN88" s="47">
        <f t="shared" si="67"/>
        <v>1575</v>
      </c>
      <c r="AO88" s="67"/>
      <c r="AP88" s="38">
        <f t="shared" ref="AP88:AT88" si="71">+SUM(AP84:AP87)</f>
        <v>0</v>
      </c>
      <c r="AQ88" s="47">
        <f t="shared" si="71"/>
        <v>0</v>
      </c>
      <c r="AR88" s="38">
        <f t="shared" si="71"/>
        <v>0</v>
      </c>
      <c r="AS88" s="38">
        <f t="shared" si="71"/>
        <v>0</v>
      </c>
      <c r="AT88" s="38">
        <f t="shared" si="71"/>
        <v>0</v>
      </c>
      <c r="AU88" s="38">
        <f t="shared" ref="AU88" si="72">+SUM(AU84:AU87)</f>
        <v>0</v>
      </c>
      <c r="AV88" s="38">
        <f>+SUM(AV84:AV87)</f>
        <v>0</v>
      </c>
      <c r="AW88" s="38">
        <f>+SUM(AW84:AW87)</f>
        <v>37500</v>
      </c>
      <c r="AX88" s="38">
        <f t="shared" ref="AX88" si="73">+SUM(AX84:AX87)</f>
        <v>0</v>
      </c>
      <c r="AY88" s="38">
        <f>+SUM(AY84:AY87)</f>
        <v>5800</v>
      </c>
      <c r="AZ88" s="38">
        <f>+SUM(AZ84:AZ87)</f>
        <v>0</v>
      </c>
      <c r="BA88" s="71"/>
      <c r="BB88" s="50">
        <f>SUM(BB84:BB87)</f>
        <v>113725</v>
      </c>
      <c r="BD88" s="100">
        <f>SUM(BD84:BD87)</f>
        <v>50109.82</v>
      </c>
      <c r="BE88" s="293">
        <f>SUM(BE84:BE87)</f>
        <v>31801.475471698115</v>
      </c>
    </row>
    <row r="89" spans="1:57">
      <c r="C89" s="47"/>
      <c r="D89" s="47"/>
      <c r="E89" s="47"/>
      <c r="F89" s="47"/>
      <c r="G89" s="47"/>
      <c r="H89" s="47"/>
      <c r="I89" s="71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67"/>
      <c r="AP89" s="38"/>
      <c r="AQ89" s="47"/>
      <c r="AR89" s="38"/>
      <c r="AS89" s="38"/>
      <c r="AT89" s="38"/>
      <c r="AU89" s="38"/>
      <c r="AV89" s="38"/>
      <c r="AW89" s="38"/>
      <c r="AX89" s="38"/>
      <c r="AY89" s="38"/>
      <c r="AZ89" s="38"/>
      <c r="BA89" s="71"/>
      <c r="BB89" s="50"/>
      <c r="BD89" s="100"/>
      <c r="BE89" s="290"/>
    </row>
    <row r="90" spans="1:57" ht="10">
      <c r="B90" s="31" t="s">
        <v>324</v>
      </c>
      <c r="C90" s="47">
        <f>SUM(C80+C88)</f>
        <v>10500</v>
      </c>
      <c r="D90" s="47">
        <f t="shared" ref="D90:H90" si="74">SUM(D80+D88)</f>
        <v>262523.50240410003</v>
      </c>
      <c r="E90" s="47">
        <f t="shared" si="74"/>
        <v>1004461.3715708542</v>
      </c>
      <c r="F90" s="47">
        <f t="shared" si="74"/>
        <v>235301.68247343745</v>
      </c>
      <c r="G90" s="47">
        <f t="shared" si="74"/>
        <v>127527.7608</v>
      </c>
      <c r="H90" s="47">
        <f t="shared" si="74"/>
        <v>96937.239330409619</v>
      </c>
      <c r="I90" s="71"/>
      <c r="J90" s="47">
        <f t="shared" ref="J90:AN90" si="75">SUM(J80+J88)</f>
        <v>65587.672904099993</v>
      </c>
      <c r="K90" s="47">
        <f t="shared" si="75"/>
        <v>63248.5815</v>
      </c>
      <c r="L90" s="47">
        <f t="shared" si="75"/>
        <v>62264.274000000005</v>
      </c>
      <c r="M90" s="47">
        <f t="shared" si="75"/>
        <v>71422.974000000002</v>
      </c>
      <c r="N90" s="47"/>
      <c r="O90" s="47">
        <f t="shared" si="75"/>
        <v>70473.233219999995</v>
      </c>
      <c r="P90" s="47">
        <f t="shared" ref="P90" si="76">SUM(P80+P88)</f>
        <v>63903.840719999993</v>
      </c>
      <c r="Q90" s="47">
        <f t="shared" si="75"/>
        <v>70348.52531915094</v>
      </c>
      <c r="R90" s="47">
        <f t="shared" si="75"/>
        <v>71422.974000000002</v>
      </c>
      <c r="S90" s="47">
        <f t="shared" si="75"/>
        <v>69817.974000000002</v>
      </c>
      <c r="T90" s="47">
        <f t="shared" ref="T90:U90" si="77">SUM(T80+T88)</f>
        <v>63903.840719999993</v>
      </c>
      <c r="U90" s="47">
        <f t="shared" si="77"/>
        <v>71422.974000000002</v>
      </c>
      <c r="V90" s="47">
        <f t="shared" si="75"/>
        <v>62264.274000000005</v>
      </c>
      <c r="W90" s="47">
        <f t="shared" si="75"/>
        <v>43415.522687499993</v>
      </c>
      <c r="X90" s="47">
        <f t="shared" si="75"/>
        <v>47976</v>
      </c>
      <c r="Y90" s="47">
        <f t="shared" si="75"/>
        <v>0</v>
      </c>
      <c r="Z90" s="47">
        <f t="shared" si="75"/>
        <v>13743.582000000002</v>
      </c>
      <c r="AA90" s="47">
        <f t="shared" si="75"/>
        <v>42406.607499999998</v>
      </c>
      <c r="AB90" s="47">
        <f t="shared" si="75"/>
        <v>13339.359000000002</v>
      </c>
      <c r="AC90" s="47">
        <f t="shared" si="75"/>
        <v>40422.300000000003</v>
      </c>
      <c r="AD90" s="47">
        <f t="shared" si="75"/>
        <v>13339.359000000002</v>
      </c>
      <c r="AE90" s="47">
        <f t="shared" si="75"/>
        <v>41406.607499999998</v>
      </c>
      <c r="AF90" s="47">
        <f t="shared" si="75"/>
        <v>80618.882904203099</v>
      </c>
      <c r="AG90" s="47">
        <f t="shared" si="75"/>
        <v>41406.607499999998</v>
      </c>
      <c r="AH90" s="47">
        <f t="shared" si="75"/>
        <v>42406.607499999998</v>
      </c>
      <c r="AI90" s="47">
        <f t="shared" si="75"/>
        <v>40422.300000000003</v>
      </c>
      <c r="AJ90" s="47">
        <f t="shared" si="75"/>
        <v>42415.522687499993</v>
      </c>
      <c r="AK90" s="47">
        <f t="shared" si="75"/>
        <v>44449.660754687487</v>
      </c>
      <c r="AL90" s="47">
        <f t="shared" si="75"/>
        <v>42406.607499999998</v>
      </c>
      <c r="AM90" s="47">
        <f t="shared" ref="AM90" si="78">SUM(AM80+AM88)</f>
        <v>42406.607499999998</v>
      </c>
      <c r="AN90" s="47">
        <f t="shared" si="75"/>
        <v>63623.28403124999</v>
      </c>
      <c r="AO90" s="67"/>
      <c r="AP90" s="47">
        <f t="shared" ref="AP90:AU90" si="79">SUM(AP80+AP88)</f>
        <v>0</v>
      </c>
      <c r="AQ90" s="47">
        <f t="shared" si="79"/>
        <v>55679</v>
      </c>
      <c r="AR90" s="47">
        <f t="shared" si="79"/>
        <v>21635.520439500004</v>
      </c>
      <c r="AS90" s="47">
        <f t="shared" si="79"/>
        <v>52453</v>
      </c>
      <c r="AT90" s="47">
        <f t="shared" si="79"/>
        <v>3987.2300000000005</v>
      </c>
      <c r="AU90" s="47">
        <f t="shared" si="79"/>
        <v>0</v>
      </c>
      <c r="AV90" s="38">
        <f>+AV80+AV88</f>
        <v>19022.04</v>
      </c>
      <c r="AW90" s="38">
        <f>+AW80+AW88</f>
        <v>139538</v>
      </c>
      <c r="AX90" s="38">
        <f t="shared" ref="AX90" si="80">+AX80+AX88</f>
        <v>0</v>
      </c>
      <c r="AY90" s="38">
        <f>+AY80+AY88</f>
        <v>90762.14094779591</v>
      </c>
      <c r="AZ90" s="38">
        <f>+AZ80+AZ88</f>
        <v>0</v>
      </c>
      <c r="BA90" s="71"/>
      <c r="BB90" s="40">
        <f>+BB80+BB88</f>
        <v>2120328.4879660974</v>
      </c>
      <c r="BD90" s="100">
        <f>SUM(BD80+BD88)</f>
        <v>1318489.27</v>
      </c>
      <c r="BE90" s="292">
        <f>SUM(BE80+BE88)</f>
        <v>1994681.1191066201</v>
      </c>
    </row>
    <row r="91" spans="1:57">
      <c r="C91" s="47"/>
      <c r="D91" s="47"/>
      <c r="E91" s="47"/>
      <c r="F91" s="47"/>
      <c r="G91" s="47"/>
      <c r="H91" s="47"/>
      <c r="I91" s="71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67"/>
      <c r="AP91" s="38"/>
      <c r="AQ91" s="47"/>
      <c r="AR91" s="38"/>
      <c r="AS91" s="38"/>
      <c r="AT91" s="38"/>
      <c r="AU91" s="38"/>
      <c r="AV91" s="38"/>
      <c r="AW91" s="38"/>
      <c r="AX91" s="38"/>
      <c r="AY91" s="38"/>
      <c r="AZ91" s="38"/>
      <c r="BA91" s="71"/>
      <c r="BB91" s="50"/>
      <c r="BD91" s="100"/>
      <c r="BE91" s="290"/>
    </row>
    <row r="92" spans="1:57">
      <c r="A92" s="31" t="s">
        <v>325</v>
      </c>
      <c r="C92" s="47"/>
      <c r="D92" s="47"/>
      <c r="E92" s="47"/>
      <c r="F92" s="47"/>
      <c r="G92" s="47"/>
      <c r="H92" s="47"/>
      <c r="I92" s="71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67"/>
      <c r="AP92" s="38"/>
      <c r="AQ92" s="47"/>
      <c r="AR92" s="38"/>
      <c r="AS92" s="38"/>
      <c r="AT92" s="38"/>
      <c r="AU92" s="38"/>
      <c r="AV92" s="38"/>
      <c r="AW92" s="38"/>
      <c r="AX92" s="38"/>
      <c r="AY92" s="38"/>
      <c r="AZ92" s="38"/>
      <c r="BA92" s="71"/>
      <c r="BB92" s="50"/>
      <c r="BD92" s="100"/>
      <c r="BE92" s="290"/>
    </row>
    <row r="93" spans="1:57" ht="12">
      <c r="A93" s="31" t="s">
        <v>25</v>
      </c>
      <c r="B93" s="31" t="s">
        <v>33</v>
      </c>
      <c r="C93" s="47"/>
      <c r="D93" s="47">
        <f>SUM(J93:M93)</f>
        <v>28151.423999999999</v>
      </c>
      <c r="E93" s="64">
        <f t="shared" ref="E93:E101" si="81">SUM(O93:AI93)</f>
        <v>95011.055999999982</v>
      </c>
      <c r="F93" s="64">
        <f>SUM(AJ93:AN93)</f>
        <v>19354.103999999999</v>
      </c>
      <c r="G93" s="47">
        <f>+G$7*139.64*2*1.05*12</f>
        <v>10556.784</v>
      </c>
      <c r="H93" s="47">
        <f>+H$7*139.64*2*1.05*12</f>
        <v>7037.8559999999998</v>
      </c>
      <c r="I93" s="71"/>
      <c r="J93" s="47">
        <f t="shared" ref="J93:AF93" si="82">+J$7*139.64*2*1.05*12</f>
        <v>7037.8559999999998</v>
      </c>
      <c r="K93" s="47">
        <f t="shared" si="82"/>
        <v>7037.8559999999998</v>
      </c>
      <c r="L93" s="47">
        <f t="shared" si="82"/>
        <v>7037.8559999999998</v>
      </c>
      <c r="M93" s="47">
        <f t="shared" si="82"/>
        <v>7037.8559999999998</v>
      </c>
      <c r="N93" s="47"/>
      <c r="O93" s="47">
        <f t="shared" si="82"/>
        <v>7037.8559999999998</v>
      </c>
      <c r="P93" s="47">
        <f t="shared" si="82"/>
        <v>7037.8559999999998</v>
      </c>
      <c r="Q93" s="47">
        <f t="shared" si="82"/>
        <v>7037.8559999999998</v>
      </c>
      <c r="R93" s="47">
        <f t="shared" si="82"/>
        <v>7037.8559999999998</v>
      </c>
      <c r="S93" s="47">
        <f t="shared" si="82"/>
        <v>7037.8559999999998</v>
      </c>
      <c r="T93" s="47">
        <f t="shared" si="82"/>
        <v>7037.8559999999998</v>
      </c>
      <c r="U93" s="47">
        <f t="shared" si="82"/>
        <v>7037.8559999999998</v>
      </c>
      <c r="V93" s="47">
        <f t="shared" si="82"/>
        <v>7037.8559999999998</v>
      </c>
      <c r="W93" s="47">
        <f t="shared" si="82"/>
        <v>3518.9279999999999</v>
      </c>
      <c r="X93" s="47">
        <f t="shared" si="82"/>
        <v>3518.9279999999999</v>
      </c>
      <c r="Y93" s="47">
        <f t="shared" si="82"/>
        <v>0</v>
      </c>
      <c r="Z93" s="47">
        <f t="shared" si="82"/>
        <v>1196.43552</v>
      </c>
      <c r="AA93" s="47">
        <f t="shared" si="82"/>
        <v>3518.9279999999999</v>
      </c>
      <c r="AB93" s="47">
        <f t="shared" si="82"/>
        <v>1161.2462399999999</v>
      </c>
      <c r="AC93" s="47">
        <f t="shared" si="82"/>
        <v>3518.9279999999999</v>
      </c>
      <c r="AD93" s="47">
        <f t="shared" si="82"/>
        <v>1161.2462399999999</v>
      </c>
      <c r="AE93" s="47">
        <f t="shared" si="82"/>
        <v>3518.9279999999999</v>
      </c>
      <c r="AF93" s="47">
        <f t="shared" si="82"/>
        <v>7037.8559999999998</v>
      </c>
      <c r="AG93" s="47">
        <f t="shared" ref="AG93:AN93" si="83">+AG$7*139.64*2*1.05*12</f>
        <v>3518.9279999999999</v>
      </c>
      <c r="AH93" s="47">
        <f t="shared" si="83"/>
        <v>3518.9279999999999</v>
      </c>
      <c r="AI93" s="47">
        <f t="shared" si="83"/>
        <v>3518.9279999999999</v>
      </c>
      <c r="AJ93" s="47">
        <f t="shared" si="83"/>
        <v>3518.9279999999999</v>
      </c>
      <c r="AK93" s="47">
        <f t="shared" si="83"/>
        <v>3518.9279999999999</v>
      </c>
      <c r="AL93" s="47">
        <f t="shared" si="83"/>
        <v>3518.9279999999999</v>
      </c>
      <c r="AM93" s="47">
        <f t="shared" si="83"/>
        <v>3518.9279999999999</v>
      </c>
      <c r="AN93" s="47">
        <f t="shared" si="83"/>
        <v>5278.3919999999998</v>
      </c>
      <c r="AO93" s="67"/>
      <c r="AP93" s="54">
        <f>SUM('AC-SVC'!C93)*AP$7</f>
        <v>0</v>
      </c>
      <c r="AQ93" s="54">
        <f>SUM('AC-SVC'!D93)</f>
        <v>3518.9279999999999</v>
      </c>
      <c r="AR93" s="54">
        <f>SUM('AC-SVC'!G93)</f>
        <v>1583.5176000000001</v>
      </c>
      <c r="AS93" s="54">
        <f>SUM('AC-SVC'!J93)</f>
        <v>3518.9279999999999</v>
      </c>
      <c r="AT93" s="54">
        <f>SUM('AC-SVC'!O93)</f>
        <v>351.89279999999997</v>
      </c>
      <c r="AU93" s="54">
        <f>SUM('AC-SVC'!P93)*AU$7</f>
        <v>0</v>
      </c>
      <c r="AV93" s="54">
        <f>SUM(PT!E93)</f>
        <v>0</v>
      </c>
      <c r="AW93" s="54">
        <f>SUM(FC!F93)</f>
        <v>17594.64</v>
      </c>
      <c r="AX93" s="54">
        <v>0</v>
      </c>
      <c r="AY93" s="54">
        <f>SUM(FS!F93)</f>
        <v>14075.712</v>
      </c>
      <c r="AZ93" s="54">
        <f>SUM(IT!F93)</f>
        <v>0</v>
      </c>
      <c r="BA93" s="71"/>
      <c r="BB93" s="60">
        <f t="shared" ref="BB93:BB101" si="84">SUM(C93:H93)+SUM(AP93:AZ93)</f>
        <v>200754.84239999996</v>
      </c>
      <c r="BD93" s="101">
        <v>58814.43</v>
      </c>
      <c r="BE93" s="288">
        <f>SUM(Sheet1!K93)</f>
        <v>125759.49811320755</v>
      </c>
    </row>
    <row r="94" spans="1:57" ht="12">
      <c r="A94" s="31" t="s">
        <v>26</v>
      </c>
      <c r="B94" s="31" t="s">
        <v>34</v>
      </c>
      <c r="C94" s="47"/>
      <c r="D94" s="47">
        <f>SUM(J94:M94)</f>
        <v>1711.6415999999999</v>
      </c>
      <c r="E94" s="64">
        <f t="shared" si="81"/>
        <v>5776.7903999999999</v>
      </c>
      <c r="F94" s="64">
        <f t="shared" ref="F94:F101" si="85">SUM(AJ94:AN94)</f>
        <v>1176.7536</v>
      </c>
      <c r="G94" s="47">
        <f t="shared" ref="G94:H94" si="86">+G$7*8.74*2*1.02*12</f>
        <v>641.86559999999997</v>
      </c>
      <c r="H94" s="47">
        <f t="shared" si="86"/>
        <v>427.91039999999998</v>
      </c>
      <c r="I94" s="71"/>
      <c r="J94" s="47">
        <f t="shared" ref="J94:AI94" si="87">+J$7*8.74*2*1.02*12</f>
        <v>427.91039999999998</v>
      </c>
      <c r="K94" s="47">
        <f t="shared" si="87"/>
        <v>427.91039999999998</v>
      </c>
      <c r="L94" s="47">
        <f t="shared" si="87"/>
        <v>427.91039999999998</v>
      </c>
      <c r="M94" s="47">
        <f t="shared" si="87"/>
        <v>427.91039999999998</v>
      </c>
      <c r="N94" s="47"/>
      <c r="O94" s="47">
        <f t="shared" si="87"/>
        <v>427.91039999999998</v>
      </c>
      <c r="P94" s="47">
        <f t="shared" si="87"/>
        <v>427.91039999999998</v>
      </c>
      <c r="Q94" s="47">
        <f t="shared" si="87"/>
        <v>427.91039999999998</v>
      </c>
      <c r="R94" s="47">
        <f t="shared" si="87"/>
        <v>427.91039999999998</v>
      </c>
      <c r="S94" s="47">
        <f t="shared" si="87"/>
        <v>427.91039999999998</v>
      </c>
      <c r="T94" s="47">
        <f t="shared" si="87"/>
        <v>427.91039999999998</v>
      </c>
      <c r="U94" s="47">
        <f t="shared" si="87"/>
        <v>427.91039999999998</v>
      </c>
      <c r="V94" s="47">
        <f t="shared" si="87"/>
        <v>427.91039999999998</v>
      </c>
      <c r="W94" s="47">
        <f t="shared" si="87"/>
        <v>213.95519999999999</v>
      </c>
      <c r="X94" s="47">
        <f t="shared" si="87"/>
        <v>213.95519999999999</v>
      </c>
      <c r="Y94" s="47">
        <f t="shared" si="87"/>
        <v>0</v>
      </c>
      <c r="Z94" s="47">
        <f t="shared" si="87"/>
        <v>72.744768000000022</v>
      </c>
      <c r="AA94" s="47">
        <f t="shared" si="87"/>
        <v>213.95519999999999</v>
      </c>
      <c r="AB94" s="47">
        <f t="shared" si="87"/>
        <v>70.605216000000013</v>
      </c>
      <c r="AC94" s="47">
        <f t="shared" si="87"/>
        <v>213.95519999999999</v>
      </c>
      <c r="AD94" s="47">
        <f t="shared" si="87"/>
        <v>70.605216000000013</v>
      </c>
      <c r="AE94" s="47">
        <f t="shared" si="87"/>
        <v>213.95519999999999</v>
      </c>
      <c r="AF94" s="47">
        <f t="shared" si="87"/>
        <v>427.91039999999998</v>
      </c>
      <c r="AG94" s="47">
        <f t="shared" si="87"/>
        <v>213.95519999999999</v>
      </c>
      <c r="AH94" s="47">
        <f t="shared" si="87"/>
        <v>213.95519999999999</v>
      </c>
      <c r="AI94" s="47">
        <f t="shared" si="87"/>
        <v>213.95519999999999</v>
      </c>
      <c r="AJ94" s="47">
        <f>+AJ$7*8.74*2*1.02*12</f>
        <v>213.95519999999999</v>
      </c>
      <c r="AK94" s="47">
        <f>+AK$7*8.74*2*1.02*12</f>
        <v>213.95519999999999</v>
      </c>
      <c r="AL94" s="47">
        <f>+AL$7*8.74*2*1.02*12</f>
        <v>213.95519999999999</v>
      </c>
      <c r="AM94" s="47">
        <f>+AM$7*8.74*2*1.02*12</f>
        <v>213.95519999999999</v>
      </c>
      <c r="AN94" s="47">
        <f>+AN$7*8.74*2*1.02*12</f>
        <v>320.93279999999999</v>
      </c>
      <c r="AO94" s="67"/>
      <c r="AP94" s="54">
        <f>SUM('AC-SVC'!C94)*AP$7</f>
        <v>0</v>
      </c>
      <c r="AQ94" s="54">
        <f>SUM('AC-SVC'!D94)</f>
        <v>213.95519999999999</v>
      </c>
      <c r="AR94" s="54">
        <f>SUM('AC-SVC'!G94)</f>
        <v>64.507492800000009</v>
      </c>
      <c r="AS94" s="54">
        <f>SUM('AC-SVC'!J94)</f>
        <v>143.34998400000001</v>
      </c>
      <c r="AT94" s="54">
        <f>SUM('AC-SVC'!O94)</f>
        <v>14.334998400000003</v>
      </c>
      <c r="AU94" s="54">
        <f>SUM('AC-SVC'!P94)*AU$7</f>
        <v>0</v>
      </c>
      <c r="AV94" s="54">
        <f>SUM(PT!E94)</f>
        <v>0</v>
      </c>
      <c r="AW94" s="54">
        <f>SUM(FC!F94)</f>
        <v>1069.7760000000001</v>
      </c>
      <c r="AX94" s="54">
        <v>0</v>
      </c>
      <c r="AY94" s="54">
        <f>SUM(FS!F94)</f>
        <v>855.82079999999996</v>
      </c>
      <c r="AZ94" s="54">
        <f>SUM(IT!F94)</f>
        <v>0</v>
      </c>
      <c r="BA94" s="80"/>
      <c r="BB94" s="60">
        <f t="shared" si="84"/>
        <v>12096.7060752</v>
      </c>
      <c r="BD94" s="101">
        <v>3385.49</v>
      </c>
      <c r="BE94" s="288">
        <f>SUM(Sheet1!K94)</f>
        <v>7098.6</v>
      </c>
    </row>
    <row r="95" spans="1:57" ht="12">
      <c r="A95" s="31" t="s">
        <v>28</v>
      </c>
      <c r="B95" s="31" t="s">
        <v>27</v>
      </c>
      <c r="C95" s="47"/>
      <c r="D95" s="47">
        <f t="shared" ref="D95:H95" si="88">(+D$88-D$84+D$80)*0.062</f>
        <v>16016.057149054201</v>
      </c>
      <c r="E95" s="64">
        <f t="shared" si="81"/>
        <v>61039.70503739296</v>
      </c>
      <c r="F95" s="64">
        <f t="shared" si="85"/>
        <v>14230.654313353123</v>
      </c>
      <c r="G95" s="47">
        <f t="shared" si="88"/>
        <v>7906.7211696000004</v>
      </c>
      <c r="H95" s="47">
        <f t="shared" si="88"/>
        <v>6010.1088384853965</v>
      </c>
      <c r="I95" s="71"/>
      <c r="J95" s="47">
        <f t="shared" ref="J95:AI95" si="89">(+J$88-J$84+J$80)*0.062</f>
        <v>4001.3357200541996</v>
      </c>
      <c r="K95" s="47">
        <f t="shared" si="89"/>
        <v>3856.3120530000001</v>
      </c>
      <c r="L95" s="47">
        <f t="shared" si="89"/>
        <v>3795.2849880000003</v>
      </c>
      <c r="M95" s="47">
        <f t="shared" si="89"/>
        <v>4363.1243880000002</v>
      </c>
      <c r="N95" s="47"/>
      <c r="O95" s="47">
        <f t="shared" si="89"/>
        <v>4304.2404596399992</v>
      </c>
      <c r="P95" s="47">
        <f t="shared" si="89"/>
        <v>3896.9381246399994</v>
      </c>
      <c r="Q95" s="47">
        <f t="shared" si="89"/>
        <v>4296.5085697873583</v>
      </c>
      <c r="R95" s="47">
        <f t="shared" si="89"/>
        <v>4363.1243880000002</v>
      </c>
      <c r="S95" s="47">
        <f t="shared" si="89"/>
        <v>4263.614388</v>
      </c>
      <c r="T95" s="47">
        <f t="shared" si="89"/>
        <v>3896.9381246399994</v>
      </c>
      <c r="U95" s="47">
        <f t="shared" si="89"/>
        <v>4363.1243880000002</v>
      </c>
      <c r="V95" s="47">
        <f t="shared" si="89"/>
        <v>3795.2849880000003</v>
      </c>
      <c r="W95" s="47">
        <f t="shared" si="89"/>
        <v>2626.6624066249997</v>
      </c>
      <c r="X95" s="47">
        <f t="shared" si="89"/>
        <v>2909.4119999999998</v>
      </c>
      <c r="Y95" s="47">
        <f t="shared" si="89"/>
        <v>0</v>
      </c>
      <c r="Z95" s="47">
        <f t="shared" si="89"/>
        <v>829.96808400000009</v>
      </c>
      <c r="AA95" s="47">
        <f t="shared" si="89"/>
        <v>2564.1096649999999</v>
      </c>
      <c r="AB95" s="47">
        <f t="shared" si="89"/>
        <v>805.55725800000016</v>
      </c>
      <c r="AC95" s="47">
        <f t="shared" si="89"/>
        <v>2441.0826000000002</v>
      </c>
      <c r="AD95" s="47">
        <f t="shared" si="89"/>
        <v>805.55725800000016</v>
      </c>
      <c r="AE95" s="47">
        <f t="shared" si="89"/>
        <v>2502.1096649999999</v>
      </c>
      <c r="AF95" s="47">
        <f t="shared" si="89"/>
        <v>4868.1707400605919</v>
      </c>
      <c r="AG95" s="47">
        <f t="shared" si="89"/>
        <v>2502.1096649999999</v>
      </c>
      <c r="AH95" s="47">
        <f t="shared" si="89"/>
        <v>2564.1096649999999</v>
      </c>
      <c r="AI95" s="47">
        <f t="shared" si="89"/>
        <v>2441.0826000000002</v>
      </c>
      <c r="AJ95" s="47">
        <f>(+AJ$88-AJ$84+AJ$80)*0.062</f>
        <v>2564.6624066249997</v>
      </c>
      <c r="AK95" s="47">
        <f>(+AK$88-AK$84+AK$80)*0.062</f>
        <v>2690.7789667906241</v>
      </c>
      <c r="AL95" s="47">
        <f>(+AL$88-AL$84+AL$80)*0.062</f>
        <v>2564.1096649999999</v>
      </c>
      <c r="AM95" s="47">
        <f>(+AM$88-AM$84+AM$80)*0.062</f>
        <v>2564.1096649999999</v>
      </c>
      <c r="AN95" s="47">
        <f>(+AN$88-AN$84+AN$80)*0.062</f>
        <v>3846.9936099374995</v>
      </c>
      <c r="AO95" s="67"/>
      <c r="AP95" s="54">
        <f>SUM('AC-SVC'!C95)*AP$7</f>
        <v>0</v>
      </c>
      <c r="AQ95" s="54">
        <f>SUM('AC-SVC'!D95)</f>
        <v>3452.098</v>
      </c>
      <c r="AR95" s="54">
        <f>SUM('AC-SVC'!G95)</f>
        <v>1341.4022672490003</v>
      </c>
      <c r="AS95" s="54">
        <f>SUM('AC-SVC'!J95)</f>
        <v>3252.0859999999998</v>
      </c>
      <c r="AT95" s="54">
        <f>SUM('AC-SVC'!O95)</f>
        <v>247.20826000000002</v>
      </c>
      <c r="AU95" s="54">
        <f>SUM('AC-SVC'!P95)*AU$7</f>
        <v>0</v>
      </c>
      <c r="AV95" s="54">
        <f>SUM(PT!E95)</f>
        <v>1179.3664800000001</v>
      </c>
      <c r="AW95" s="54">
        <f>SUM(FC!F95)</f>
        <v>8651.3559999999998</v>
      </c>
      <c r="AX95" s="54">
        <v>0</v>
      </c>
      <c r="AY95" s="54">
        <f>SUM(FS!F95)</f>
        <v>5453.652738763346</v>
      </c>
      <c r="AZ95" s="54">
        <f>SUM(IT!F95)</f>
        <v>0</v>
      </c>
      <c r="BA95" s="80"/>
      <c r="BB95" s="60">
        <f t="shared" si="84"/>
        <v>128780.41625389803</v>
      </c>
      <c r="BD95" s="101">
        <v>84387.15</v>
      </c>
      <c r="BE95" s="288">
        <f>+BB95</f>
        <v>128780.41625389803</v>
      </c>
    </row>
    <row r="96" spans="1:57" ht="12">
      <c r="A96" s="31" t="s">
        <v>30</v>
      </c>
      <c r="B96" s="31" t="s">
        <v>29</v>
      </c>
      <c r="C96" s="47"/>
      <c r="D96" s="47">
        <f t="shared" ref="D96:H96" si="90">(+D$88-D$84+D$80)*0.0145</f>
        <v>3745.6907848594501</v>
      </c>
      <c r="E96" s="64">
        <f t="shared" si="81"/>
        <v>14275.41488777738</v>
      </c>
      <c r="F96" s="64">
        <f t="shared" si="85"/>
        <v>3328.1368958648436</v>
      </c>
      <c r="G96" s="47">
        <f t="shared" si="90"/>
        <v>1849.1525316000002</v>
      </c>
      <c r="H96" s="47">
        <f t="shared" si="90"/>
        <v>1405.5899702909396</v>
      </c>
      <c r="I96" s="71"/>
      <c r="J96" s="47">
        <f t="shared" ref="J96:AI96" si="91">(+J$88-J$84+J$80)*0.0145</f>
        <v>935.79625710944993</v>
      </c>
      <c r="K96" s="47">
        <f t="shared" si="91"/>
        <v>901.87943175000009</v>
      </c>
      <c r="L96" s="47">
        <f t="shared" si="91"/>
        <v>887.60697300000015</v>
      </c>
      <c r="M96" s="47">
        <f t="shared" si="91"/>
        <v>1020.408123</v>
      </c>
      <c r="N96" s="47"/>
      <c r="O96" s="47">
        <f t="shared" si="91"/>
        <v>1006.63688169</v>
      </c>
      <c r="P96" s="47">
        <f t="shared" si="91"/>
        <v>911.38069043999997</v>
      </c>
      <c r="Q96" s="47">
        <f t="shared" si="91"/>
        <v>1004.8286171276886</v>
      </c>
      <c r="R96" s="47">
        <f t="shared" si="91"/>
        <v>1020.408123</v>
      </c>
      <c r="S96" s="47">
        <f t="shared" si="91"/>
        <v>997.13562300000012</v>
      </c>
      <c r="T96" s="47">
        <f t="shared" si="91"/>
        <v>911.38069043999997</v>
      </c>
      <c r="U96" s="47">
        <f t="shared" si="91"/>
        <v>1020.408123</v>
      </c>
      <c r="V96" s="47">
        <f t="shared" si="91"/>
        <v>887.60697300000015</v>
      </c>
      <c r="W96" s="47">
        <f t="shared" si="91"/>
        <v>614.30007896874997</v>
      </c>
      <c r="X96" s="47">
        <f t="shared" si="91"/>
        <v>680.42700000000002</v>
      </c>
      <c r="Y96" s="47">
        <f t="shared" si="91"/>
        <v>0</v>
      </c>
      <c r="Z96" s="47">
        <f t="shared" si="91"/>
        <v>194.10543900000005</v>
      </c>
      <c r="AA96" s="47">
        <f t="shared" si="91"/>
        <v>599.67080874999999</v>
      </c>
      <c r="AB96" s="47">
        <f t="shared" si="91"/>
        <v>188.39645550000003</v>
      </c>
      <c r="AC96" s="47">
        <f t="shared" si="91"/>
        <v>570.89835000000005</v>
      </c>
      <c r="AD96" s="47">
        <f t="shared" si="91"/>
        <v>188.39645550000003</v>
      </c>
      <c r="AE96" s="47">
        <f t="shared" si="91"/>
        <v>585.17080874999999</v>
      </c>
      <c r="AF96" s="47">
        <f t="shared" si="91"/>
        <v>1138.5238021109451</v>
      </c>
      <c r="AG96" s="47">
        <f t="shared" si="91"/>
        <v>585.17080874999999</v>
      </c>
      <c r="AH96" s="47">
        <f t="shared" si="91"/>
        <v>599.67080874999999</v>
      </c>
      <c r="AI96" s="47">
        <f t="shared" si="91"/>
        <v>570.89835000000005</v>
      </c>
      <c r="AJ96" s="47">
        <f>(+AJ$88-AJ$84+AJ$80)*0.0145</f>
        <v>599.80007896874997</v>
      </c>
      <c r="AK96" s="47">
        <f>(+AK$88-AK$84+AK$80)*0.0145</f>
        <v>629.29508094296864</v>
      </c>
      <c r="AL96" s="47">
        <f>(+AL$88-AL$84+AL$80)*0.0145</f>
        <v>599.67080874999999</v>
      </c>
      <c r="AM96" s="47">
        <f>(+AM$88-AM$84+AM$80)*0.0145</f>
        <v>599.67080874999999</v>
      </c>
      <c r="AN96" s="47">
        <f>(+AN$88-AN$84+AN$80)*0.0145</f>
        <v>899.7001184531249</v>
      </c>
      <c r="AO96" s="67"/>
      <c r="AP96" s="54">
        <f>SUM('AC-SVC'!C96)*AP$7</f>
        <v>0</v>
      </c>
      <c r="AQ96" s="54">
        <f>SUM('AC-SVC'!D96)</f>
        <v>807.34550000000002</v>
      </c>
      <c r="AR96" s="54">
        <f>SUM('AC-SVC'!G96)</f>
        <v>313.71504637275007</v>
      </c>
      <c r="AS96" s="54">
        <f>SUM('AC-SVC'!J96)</f>
        <v>760.56850000000009</v>
      </c>
      <c r="AT96" s="54">
        <f>SUM('AC-SVC'!O96)</f>
        <v>57.814835000000009</v>
      </c>
      <c r="AU96" s="54">
        <f>SUM('AC-SVC'!P96)*AU$7</f>
        <v>0</v>
      </c>
      <c r="AV96" s="54">
        <f>SUM(PT!E96)</f>
        <v>275.81958000000003</v>
      </c>
      <c r="AW96" s="54">
        <f>SUM(FC!F96)</f>
        <v>2023.3010000000002</v>
      </c>
      <c r="AX96" s="54">
        <v>0</v>
      </c>
      <c r="AY96" s="54">
        <f>SUM(FS!F96)</f>
        <v>1275.4510437430408</v>
      </c>
      <c r="AZ96" s="54">
        <f>SUM(IT!F96)</f>
        <v>0</v>
      </c>
      <c r="BA96" s="80"/>
      <c r="BB96" s="60">
        <f t="shared" si="84"/>
        <v>30118.000575508406</v>
      </c>
      <c r="BD96" s="101"/>
      <c r="BE96" s="288">
        <f>+BB96</f>
        <v>30118.000575508406</v>
      </c>
    </row>
    <row r="97" spans="1:57" ht="12">
      <c r="A97" s="31" t="s">
        <v>31</v>
      </c>
      <c r="B97" s="31" t="s">
        <v>32</v>
      </c>
      <c r="C97" s="47"/>
      <c r="D97" s="47">
        <f t="shared" ref="D97:H97" si="92">(+D$88-D$84+D$80)*0.06</f>
        <v>15499.410144246</v>
      </c>
      <c r="E97" s="64">
        <f t="shared" si="81"/>
        <v>59070.682294251237</v>
      </c>
      <c r="F97" s="64">
        <f t="shared" si="85"/>
        <v>13771.600948406249</v>
      </c>
      <c r="G97" s="47">
        <f t="shared" si="92"/>
        <v>7651.6656480000001</v>
      </c>
      <c r="H97" s="47">
        <f t="shared" si="92"/>
        <v>5816.234359824577</v>
      </c>
      <c r="I97" s="71"/>
      <c r="J97" s="47">
        <f t="shared" ref="J97:AI97" si="93">(+J$88-J$84+J$80)*0.06</f>
        <v>3872.2603742459996</v>
      </c>
      <c r="K97" s="47">
        <f t="shared" si="93"/>
        <v>3731.91489</v>
      </c>
      <c r="L97" s="47">
        <f t="shared" si="93"/>
        <v>3672.85644</v>
      </c>
      <c r="M97" s="47">
        <f t="shared" si="93"/>
        <v>4222.3784400000004</v>
      </c>
      <c r="N97" s="47"/>
      <c r="O97" s="47">
        <f t="shared" si="93"/>
        <v>4165.3939931999994</v>
      </c>
      <c r="P97" s="47">
        <f t="shared" si="93"/>
        <v>3771.2304431999996</v>
      </c>
      <c r="Q97" s="47">
        <f t="shared" si="93"/>
        <v>4157.9115191490564</v>
      </c>
      <c r="R97" s="47">
        <f t="shared" si="93"/>
        <v>4222.3784400000004</v>
      </c>
      <c r="S97" s="47">
        <f t="shared" si="93"/>
        <v>4126.0784400000002</v>
      </c>
      <c r="T97" s="47">
        <f t="shared" si="93"/>
        <v>3771.2304431999996</v>
      </c>
      <c r="U97" s="47">
        <f t="shared" si="93"/>
        <v>4222.3784400000004</v>
      </c>
      <c r="V97" s="47">
        <f t="shared" si="93"/>
        <v>3672.85644</v>
      </c>
      <c r="W97" s="47">
        <f t="shared" si="93"/>
        <v>2541.9313612499996</v>
      </c>
      <c r="X97" s="47">
        <f t="shared" si="93"/>
        <v>2815.56</v>
      </c>
      <c r="Y97" s="47">
        <f t="shared" si="93"/>
        <v>0</v>
      </c>
      <c r="Z97" s="47">
        <f t="shared" si="93"/>
        <v>803.19492000000014</v>
      </c>
      <c r="AA97" s="47">
        <f t="shared" si="93"/>
        <v>2481.3964499999997</v>
      </c>
      <c r="AB97" s="47">
        <f t="shared" si="93"/>
        <v>779.57154000000014</v>
      </c>
      <c r="AC97" s="47">
        <f t="shared" si="93"/>
        <v>2362.3380000000002</v>
      </c>
      <c r="AD97" s="47">
        <f t="shared" si="93"/>
        <v>779.57154000000014</v>
      </c>
      <c r="AE97" s="47">
        <f t="shared" si="93"/>
        <v>2421.3964499999997</v>
      </c>
      <c r="AF97" s="47">
        <f t="shared" si="93"/>
        <v>4711.1329742521857</v>
      </c>
      <c r="AG97" s="47">
        <f t="shared" si="93"/>
        <v>2421.3964499999997</v>
      </c>
      <c r="AH97" s="47">
        <f t="shared" si="93"/>
        <v>2481.3964499999997</v>
      </c>
      <c r="AI97" s="47">
        <f t="shared" si="93"/>
        <v>2362.3380000000002</v>
      </c>
      <c r="AJ97" s="47">
        <f>(+AJ$88-AJ$84+AJ$80)*0.06</f>
        <v>2481.9313612499996</v>
      </c>
      <c r="AK97" s="47">
        <f>(+AK$88-AK$84+AK$80)*0.06</f>
        <v>2603.9796452812493</v>
      </c>
      <c r="AL97" s="47">
        <f>(+AL$88-AL$84+AL$80)*0.06</f>
        <v>2481.3964499999997</v>
      </c>
      <c r="AM97" s="47">
        <f>(+AM$88-AM$84+AM$80)*0.06</f>
        <v>2481.3964499999997</v>
      </c>
      <c r="AN97" s="47">
        <f>(+AN$88-AN$84+AN$80)*0.06</f>
        <v>3722.8970418749991</v>
      </c>
      <c r="AO97" s="67"/>
      <c r="AP97" s="54">
        <f>SUM('AC-SVC'!C97)*AP$7</f>
        <v>0</v>
      </c>
      <c r="AQ97" s="54">
        <f>SUM('AC-SVC'!D97)</f>
        <v>3340.74</v>
      </c>
      <c r="AR97" s="54">
        <f>SUM('AC-SVC'!G97)</f>
        <v>843.78529714050012</v>
      </c>
      <c r="AS97" s="54">
        <f>SUM('AC-SVC'!J97)</f>
        <v>2045.6669999999999</v>
      </c>
      <c r="AT97" s="54">
        <f>SUM('AC-SVC'!O97)</f>
        <v>155.50197000000003</v>
      </c>
      <c r="AU97" s="54">
        <f>SUM('AC-SVC'!P97)*AU$7</f>
        <v>0</v>
      </c>
      <c r="AV97" s="54">
        <f>SUM(PT!E97)</f>
        <v>570.66120000000001</v>
      </c>
      <c r="AW97" s="54">
        <f>SUM(FC!F97)</f>
        <v>8372.2799999999988</v>
      </c>
      <c r="AX97" s="54">
        <v>0</v>
      </c>
      <c r="AY97" s="54">
        <f>SUM(FS!F97)</f>
        <v>5277.7284568677542</v>
      </c>
      <c r="AZ97" s="54">
        <f>SUM(IT!F97)</f>
        <v>0</v>
      </c>
      <c r="BA97" s="80"/>
      <c r="BB97" s="60">
        <f t="shared" si="84"/>
        <v>122415.95731873631</v>
      </c>
      <c r="BD97" s="101">
        <v>24281.040000000001</v>
      </c>
      <c r="BE97" s="288">
        <f>SUM(Sheet1!K97)</f>
        <v>59340.169811320753</v>
      </c>
    </row>
    <row r="98" spans="1:57" ht="12">
      <c r="A98" s="31" t="s">
        <v>36</v>
      </c>
      <c r="B98" s="31" t="s">
        <v>35</v>
      </c>
      <c r="C98" s="47"/>
      <c r="D98" s="47">
        <f t="shared" ref="D98:H98" si="94">(+D$88-D$84+D$80)*0.0056</f>
        <v>1446.6116134629599</v>
      </c>
      <c r="E98" s="64">
        <f t="shared" si="81"/>
        <v>5513.2636807967829</v>
      </c>
      <c r="F98" s="64">
        <f t="shared" si="85"/>
        <v>1285.3494218512499</v>
      </c>
      <c r="G98" s="47">
        <f t="shared" si="94"/>
        <v>714.15546047999999</v>
      </c>
      <c r="H98" s="47">
        <f t="shared" si="94"/>
        <v>542.84854025029381</v>
      </c>
      <c r="I98" s="71"/>
      <c r="J98" s="47">
        <f t="shared" ref="J98:AI98" si="95">(+J$88-J$84+J$80)*0.0056</f>
        <v>361.41096826295995</v>
      </c>
      <c r="K98" s="47">
        <f t="shared" si="95"/>
        <v>348.31205640000002</v>
      </c>
      <c r="L98" s="47">
        <f t="shared" si="95"/>
        <v>342.79993440000004</v>
      </c>
      <c r="M98" s="47">
        <f t="shared" si="95"/>
        <v>394.0886544</v>
      </c>
      <c r="N98" s="47"/>
      <c r="O98" s="47">
        <f t="shared" si="95"/>
        <v>388.77010603199994</v>
      </c>
      <c r="P98" s="47">
        <f t="shared" si="95"/>
        <v>351.98150803199997</v>
      </c>
      <c r="Q98" s="47">
        <f t="shared" si="95"/>
        <v>388.07174178724529</v>
      </c>
      <c r="R98" s="47">
        <f t="shared" si="95"/>
        <v>394.0886544</v>
      </c>
      <c r="S98" s="47">
        <f t="shared" si="95"/>
        <v>385.1006544</v>
      </c>
      <c r="T98" s="47">
        <f t="shared" si="95"/>
        <v>351.98150803199997</v>
      </c>
      <c r="U98" s="47">
        <f t="shared" si="95"/>
        <v>394.0886544</v>
      </c>
      <c r="V98" s="47">
        <f t="shared" si="95"/>
        <v>342.79993440000004</v>
      </c>
      <c r="W98" s="47">
        <f t="shared" si="95"/>
        <v>237.24692704999995</v>
      </c>
      <c r="X98" s="47">
        <f t="shared" si="95"/>
        <v>262.78559999999999</v>
      </c>
      <c r="Y98" s="47">
        <f t="shared" si="95"/>
        <v>0</v>
      </c>
      <c r="Z98" s="47">
        <f t="shared" si="95"/>
        <v>74.964859200000006</v>
      </c>
      <c r="AA98" s="47">
        <f t="shared" si="95"/>
        <v>231.59700199999997</v>
      </c>
      <c r="AB98" s="47">
        <f t="shared" si="95"/>
        <v>72.760010400000013</v>
      </c>
      <c r="AC98" s="47">
        <f t="shared" si="95"/>
        <v>220.48488</v>
      </c>
      <c r="AD98" s="47">
        <f t="shared" si="95"/>
        <v>72.760010400000013</v>
      </c>
      <c r="AE98" s="47">
        <f t="shared" si="95"/>
        <v>225.99700199999998</v>
      </c>
      <c r="AF98" s="47">
        <f t="shared" si="95"/>
        <v>439.70574426353733</v>
      </c>
      <c r="AG98" s="47">
        <f t="shared" si="95"/>
        <v>225.99700199999998</v>
      </c>
      <c r="AH98" s="47">
        <f t="shared" si="95"/>
        <v>231.59700199999997</v>
      </c>
      <c r="AI98" s="47">
        <f t="shared" si="95"/>
        <v>220.48488</v>
      </c>
      <c r="AJ98" s="47">
        <f>(+AJ$88-AJ$84+AJ$80)*0.0056</f>
        <v>231.64692704999996</v>
      </c>
      <c r="AK98" s="47">
        <f>(+AK$88-AK$84+AK$80)*0.0056</f>
        <v>243.03810022624992</v>
      </c>
      <c r="AL98" s="47">
        <f>(+AL$88-AL$84+AL$80)*0.0056</f>
        <v>231.59700199999997</v>
      </c>
      <c r="AM98" s="47">
        <f>(+AM$88-AM$84+AM$80)*0.0056</f>
        <v>231.59700199999997</v>
      </c>
      <c r="AN98" s="47">
        <f>(+AN$88-AN$84+AN$80)*0.0056</f>
        <v>347.47039057499995</v>
      </c>
      <c r="AO98" s="67"/>
      <c r="AP98" s="54">
        <f>SUM('AC-SVC'!C98)*AP$7</f>
        <v>0</v>
      </c>
      <c r="AQ98" s="54">
        <f>SUM('AC-SVC'!D98)</f>
        <v>311.80239999999998</v>
      </c>
      <c r="AR98" s="54">
        <f>SUM('AC-SVC'!G98)</f>
        <v>121.15891446120001</v>
      </c>
      <c r="AS98" s="54">
        <f>SUM('AC-SVC'!J98)</f>
        <v>293.73680000000002</v>
      </c>
      <c r="AT98" s="54">
        <f>SUM('AC-SVC'!O98)</f>
        <v>22.328488000000004</v>
      </c>
      <c r="AU98" s="54">
        <f>SUM('AC-SVC'!P98)*AU$7</f>
        <v>0</v>
      </c>
      <c r="AV98" s="54">
        <f>SUM(PT!E98)</f>
        <v>106.52342400000001</v>
      </c>
      <c r="AW98" s="54">
        <f>SUM(FC!F98)</f>
        <v>781.41279999999995</v>
      </c>
      <c r="AX98" s="54">
        <v>0</v>
      </c>
      <c r="AY98" s="54">
        <f>SUM(FS!F98)</f>
        <v>492.5879893076571</v>
      </c>
      <c r="AZ98" s="54">
        <f>SUM(IT!F98)</f>
        <v>0</v>
      </c>
      <c r="BA98" s="80"/>
      <c r="BB98" s="60">
        <f t="shared" si="84"/>
        <v>11631.779532610144</v>
      </c>
      <c r="BD98" s="101">
        <v>10291.34</v>
      </c>
      <c r="BE98" s="288">
        <f>+BB98</f>
        <v>11631.779532610144</v>
      </c>
    </row>
    <row r="99" spans="1:57" ht="12">
      <c r="A99" s="31" t="s">
        <v>38</v>
      </c>
      <c r="B99" s="31" t="s">
        <v>37</v>
      </c>
      <c r="C99" s="47"/>
      <c r="D99" s="47">
        <f>+D$7*7700*0.0201</f>
        <v>1238.1600000000001</v>
      </c>
      <c r="E99" s="64">
        <f t="shared" si="81"/>
        <v>4178.79</v>
      </c>
      <c r="F99" s="64">
        <f t="shared" si="85"/>
        <v>851.23500000000001</v>
      </c>
      <c r="G99" s="47">
        <f>+G$7*7700*0.0201</f>
        <v>464.31</v>
      </c>
      <c r="H99" s="47">
        <f>+H$7*7700*0.0201</f>
        <v>309.54000000000002</v>
      </c>
      <c r="I99" s="71"/>
      <c r="J99" s="47">
        <f t="shared" ref="J99:AI99" si="96">+J$7*7700*0.0201</f>
        <v>309.54000000000002</v>
      </c>
      <c r="K99" s="47">
        <f t="shared" si="96"/>
        <v>309.54000000000002</v>
      </c>
      <c r="L99" s="47">
        <f t="shared" si="96"/>
        <v>309.54000000000002</v>
      </c>
      <c r="M99" s="47">
        <f t="shared" si="96"/>
        <v>309.54000000000002</v>
      </c>
      <c r="N99" s="47"/>
      <c r="O99" s="47">
        <f t="shared" si="96"/>
        <v>309.54000000000002</v>
      </c>
      <c r="P99" s="47">
        <f t="shared" si="96"/>
        <v>309.54000000000002</v>
      </c>
      <c r="Q99" s="47">
        <f t="shared" si="96"/>
        <v>309.54000000000002</v>
      </c>
      <c r="R99" s="47">
        <f t="shared" si="96"/>
        <v>309.54000000000002</v>
      </c>
      <c r="S99" s="47">
        <f t="shared" si="96"/>
        <v>309.54000000000002</v>
      </c>
      <c r="T99" s="47">
        <f t="shared" si="96"/>
        <v>309.54000000000002</v>
      </c>
      <c r="U99" s="47">
        <f t="shared" si="96"/>
        <v>309.54000000000002</v>
      </c>
      <c r="V99" s="47">
        <f t="shared" si="96"/>
        <v>309.54000000000002</v>
      </c>
      <c r="W99" s="47">
        <f t="shared" si="96"/>
        <v>154.77000000000001</v>
      </c>
      <c r="X99" s="47">
        <f t="shared" si="96"/>
        <v>154.77000000000001</v>
      </c>
      <c r="Y99" s="47">
        <f t="shared" si="96"/>
        <v>0</v>
      </c>
      <c r="Z99" s="47">
        <f t="shared" si="96"/>
        <v>52.6218</v>
      </c>
      <c r="AA99" s="47">
        <f t="shared" si="96"/>
        <v>154.77000000000001</v>
      </c>
      <c r="AB99" s="47">
        <f t="shared" si="96"/>
        <v>51.074100000000001</v>
      </c>
      <c r="AC99" s="47">
        <f t="shared" si="96"/>
        <v>154.77000000000001</v>
      </c>
      <c r="AD99" s="47">
        <f t="shared" si="96"/>
        <v>51.074100000000001</v>
      </c>
      <c r="AE99" s="47">
        <f t="shared" si="96"/>
        <v>154.77000000000001</v>
      </c>
      <c r="AF99" s="47">
        <f t="shared" si="96"/>
        <v>309.54000000000002</v>
      </c>
      <c r="AG99" s="47">
        <f t="shared" si="96"/>
        <v>154.77000000000001</v>
      </c>
      <c r="AH99" s="47">
        <f t="shared" si="96"/>
        <v>154.77000000000001</v>
      </c>
      <c r="AI99" s="47">
        <f t="shared" si="96"/>
        <v>154.77000000000001</v>
      </c>
      <c r="AJ99" s="47">
        <f>+AJ$7*7700*0.0201</f>
        <v>154.77000000000001</v>
      </c>
      <c r="AK99" s="47">
        <f>+AK$7*7700*0.0201</f>
        <v>154.77000000000001</v>
      </c>
      <c r="AL99" s="47">
        <f>+AL$7*7700*0.0201</f>
        <v>154.77000000000001</v>
      </c>
      <c r="AM99" s="47">
        <f>+AM$7*7700*0.0201</f>
        <v>154.77000000000001</v>
      </c>
      <c r="AN99" s="47">
        <f>+AN$7*7700*0.0201</f>
        <v>232.155</v>
      </c>
      <c r="AO99" s="67"/>
      <c r="AP99" s="54">
        <f>SUM('AC-SVC'!C99)*AP$7</f>
        <v>0</v>
      </c>
      <c r="AQ99" s="54">
        <f>SUM('AC-SVC'!D99)</f>
        <v>154.77000000000001</v>
      </c>
      <c r="AR99" s="54">
        <f>SUM('AC-SVC'!G99)</f>
        <v>69.646500000000003</v>
      </c>
      <c r="AS99" s="54">
        <f>SUM('AC-SVC'!J99)</f>
        <v>154.77000000000001</v>
      </c>
      <c r="AT99" s="54">
        <f>SUM('AC-SVC'!O99)</f>
        <v>15.477</v>
      </c>
      <c r="AU99" s="54">
        <f>SUM('AC-SVC'!P99)*AU$7</f>
        <v>0</v>
      </c>
      <c r="AV99" s="54">
        <f>SUM(PT!E99)</f>
        <v>309.54000000000002</v>
      </c>
      <c r="AW99" s="54">
        <f>SUM(FC!F99)</f>
        <v>773.85</v>
      </c>
      <c r="AX99" s="54">
        <v>0</v>
      </c>
      <c r="AY99" s="54">
        <f>SUM(FS!F99)</f>
        <v>619.08000000000004</v>
      </c>
      <c r="AZ99" s="54">
        <f>SUM(IT!F99)</f>
        <v>0</v>
      </c>
      <c r="BA99" s="80"/>
      <c r="BB99" s="60">
        <f t="shared" si="84"/>
        <v>9139.1684999999998</v>
      </c>
      <c r="BD99" s="101">
        <v>14408.57</v>
      </c>
      <c r="BE99" s="288">
        <f>+BB99</f>
        <v>9139.1684999999998</v>
      </c>
    </row>
    <row r="100" spans="1:57" ht="12">
      <c r="A100" s="31" t="s">
        <v>83</v>
      </c>
      <c r="B100" s="31" t="s">
        <v>84</v>
      </c>
      <c r="C100" s="47">
        <v>10000</v>
      </c>
      <c r="D100" s="47">
        <f>SUM(J100:M100)</f>
        <v>0</v>
      </c>
      <c r="E100" s="64">
        <f t="shared" si="81"/>
        <v>0</v>
      </c>
      <c r="F100" s="64">
        <f t="shared" si="85"/>
        <v>0</v>
      </c>
      <c r="G100" s="47"/>
      <c r="H100" s="47"/>
      <c r="I100" s="71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67"/>
      <c r="AP100" s="54">
        <f>SUM('AC-SVC'!C100)*AP$7</f>
        <v>0</v>
      </c>
      <c r="AQ100" s="54">
        <f>SUM('AC-SVC'!D100)</f>
        <v>0</v>
      </c>
      <c r="AR100" s="54">
        <f>SUM('AC-SVC'!G100)</f>
        <v>0</v>
      </c>
      <c r="AS100" s="54">
        <f>SUM('AC-SVC'!J100)</f>
        <v>0</v>
      </c>
      <c r="AT100" s="54">
        <f>SUM('AC-SVC'!O100)</f>
        <v>0</v>
      </c>
      <c r="AU100" s="54">
        <f>SUM('AC-SVC'!P100)*AU$7</f>
        <v>0</v>
      </c>
      <c r="AV100" s="54">
        <f>SUM(PT!E100)</f>
        <v>0</v>
      </c>
      <c r="AW100" s="54">
        <f>SUM(FC!F100)</f>
        <v>0</v>
      </c>
      <c r="AX100" s="54">
        <v>0</v>
      </c>
      <c r="AY100" s="54">
        <f>SUM(FS!F100)</f>
        <v>0</v>
      </c>
      <c r="AZ100" s="54">
        <f>SUM(IT!F100)</f>
        <v>0</v>
      </c>
      <c r="BA100" s="80"/>
      <c r="BB100" s="60">
        <f t="shared" si="84"/>
        <v>10000</v>
      </c>
      <c r="BD100" s="101">
        <v>1230</v>
      </c>
      <c r="BE100" s="288">
        <f>SUM(Sheet1!K100)</f>
        <v>2255.6603773584907</v>
      </c>
    </row>
    <row r="101" spans="1:57" ht="12">
      <c r="A101" s="31" t="s">
        <v>39</v>
      </c>
      <c r="B101" s="31" t="s">
        <v>40</v>
      </c>
      <c r="C101" s="48"/>
      <c r="D101" s="48">
        <f t="shared" ref="D101:H101" si="97">(+D$88-D$84+D$80)*(0.0024+0.0036+0.0013)</f>
        <v>1885.7615675499301</v>
      </c>
      <c r="E101" s="48">
        <f t="shared" si="81"/>
        <v>7186.9330124672369</v>
      </c>
      <c r="F101" s="48">
        <f t="shared" si="85"/>
        <v>1675.5447820560935</v>
      </c>
      <c r="G101" s="48">
        <f t="shared" si="97"/>
        <v>930.95265384000004</v>
      </c>
      <c r="H101" s="48">
        <f t="shared" si="97"/>
        <v>707.64184711199027</v>
      </c>
      <c r="I101" s="73"/>
      <c r="J101" s="48">
        <f t="shared" ref="J101:AI101" si="98">(+J$88-J$84+J$80)*(0.0024+0.0036+0.0013)</f>
        <v>471.12501219992993</v>
      </c>
      <c r="K101" s="48">
        <f t="shared" si="98"/>
        <v>454.04964495000002</v>
      </c>
      <c r="L101" s="48">
        <f t="shared" si="98"/>
        <v>446.86420020000003</v>
      </c>
      <c r="M101" s="48">
        <f t="shared" si="98"/>
        <v>513.72271020000005</v>
      </c>
      <c r="N101" s="48"/>
      <c r="O101" s="48">
        <f t="shared" si="98"/>
        <v>506.78960250599994</v>
      </c>
      <c r="P101" s="48">
        <f t="shared" si="98"/>
        <v>458.83303725599995</v>
      </c>
      <c r="Q101" s="48">
        <f t="shared" si="98"/>
        <v>505.87923482980187</v>
      </c>
      <c r="R101" s="48">
        <f t="shared" si="98"/>
        <v>513.72271020000005</v>
      </c>
      <c r="S101" s="48">
        <f t="shared" si="98"/>
        <v>502.0062102</v>
      </c>
      <c r="T101" s="48">
        <f t="shared" si="98"/>
        <v>458.83303725599995</v>
      </c>
      <c r="U101" s="48">
        <f t="shared" si="98"/>
        <v>513.72271020000005</v>
      </c>
      <c r="V101" s="48">
        <f t="shared" si="98"/>
        <v>446.86420020000003</v>
      </c>
      <c r="W101" s="48">
        <f t="shared" si="98"/>
        <v>309.26831561874997</v>
      </c>
      <c r="X101" s="48">
        <f t="shared" si="98"/>
        <v>342.5598</v>
      </c>
      <c r="Y101" s="48">
        <f t="shared" si="98"/>
        <v>0</v>
      </c>
      <c r="Z101" s="48">
        <f t="shared" si="98"/>
        <v>97.722048600000022</v>
      </c>
      <c r="AA101" s="48">
        <f t="shared" si="98"/>
        <v>301.90323474999997</v>
      </c>
      <c r="AB101" s="48">
        <f t="shared" si="98"/>
        <v>94.847870700000016</v>
      </c>
      <c r="AC101" s="48">
        <f t="shared" si="98"/>
        <v>287.41779000000002</v>
      </c>
      <c r="AD101" s="48">
        <f t="shared" si="98"/>
        <v>94.847870700000016</v>
      </c>
      <c r="AE101" s="48">
        <f t="shared" si="98"/>
        <v>294.60323475000001</v>
      </c>
      <c r="AF101" s="48">
        <f t="shared" si="98"/>
        <v>573.18784520068266</v>
      </c>
      <c r="AG101" s="48">
        <f t="shared" si="98"/>
        <v>294.60323475000001</v>
      </c>
      <c r="AH101" s="48">
        <f t="shared" si="98"/>
        <v>301.90323474999997</v>
      </c>
      <c r="AI101" s="48">
        <f t="shared" si="98"/>
        <v>287.41779000000002</v>
      </c>
      <c r="AJ101" s="48">
        <f>(+AJ$88-AJ$84+AJ$80)*(0.0024+0.0036+0.0013)</f>
        <v>301.96831561874995</v>
      </c>
      <c r="AK101" s="48">
        <f>(+AK$88-AK$84+AK$80)*(0.0024+0.0036+0.0013)</f>
        <v>316.81752350921869</v>
      </c>
      <c r="AL101" s="48">
        <f>(+AL$88-AL$84+AL$80)*(0.0024+0.0036+0.0013)</f>
        <v>301.90323474999997</v>
      </c>
      <c r="AM101" s="48">
        <f>(+AM$88-AM$84+AM$80)*(0.0024+0.0036+0.0013)</f>
        <v>301.90323474999997</v>
      </c>
      <c r="AN101" s="48">
        <f>(+AN$88-AN$84+AN$80)*(0.0024+0.0036+0.0013)</f>
        <v>452.95247342812496</v>
      </c>
      <c r="AO101" s="67"/>
      <c r="AP101" s="39">
        <f>SUM('AC-SVC'!C101)*AP$7</f>
        <v>0</v>
      </c>
      <c r="AQ101" s="39">
        <f>SUM('AC-SVC'!D101)</f>
        <v>406.45670000000001</v>
      </c>
      <c r="AR101" s="39">
        <f>SUM('AC-SVC'!G101)</f>
        <v>157.93929920835004</v>
      </c>
      <c r="AS101" s="39">
        <f>SUM('AC-SVC'!J101)</f>
        <v>382.90690000000001</v>
      </c>
      <c r="AT101" s="39">
        <f>SUM('AC-SVC'!O101)</f>
        <v>29.106779000000003</v>
      </c>
      <c r="AU101" s="39">
        <f>SUM('AC-SVC'!P101)*AU$7</f>
        <v>0</v>
      </c>
      <c r="AV101" s="39">
        <f>SUM(PT!E101)</f>
        <v>138.86089200000001</v>
      </c>
      <c r="AW101" s="39">
        <f>SUM(FC!F101)</f>
        <v>1018.6274</v>
      </c>
      <c r="AX101" s="39">
        <v>0</v>
      </c>
      <c r="AY101" s="39">
        <f>SUM(FS!F101)</f>
        <v>642.12362891891019</v>
      </c>
      <c r="AZ101" s="39">
        <f>SUM(IT!F101)</f>
        <v>0</v>
      </c>
      <c r="BA101" s="73"/>
      <c r="BB101" s="59">
        <f t="shared" si="84"/>
        <v>15162.855462152511</v>
      </c>
      <c r="BD101" s="102">
        <v>3526.92</v>
      </c>
      <c r="BE101" s="288">
        <f>SUM(Sheet1!K101)</f>
        <v>10232.181132075471</v>
      </c>
    </row>
    <row r="102" spans="1:57" ht="10">
      <c r="B102" s="31" t="s">
        <v>234</v>
      </c>
      <c r="C102" s="47">
        <f>SUM(C93:C101)</f>
        <v>10000</v>
      </c>
      <c r="D102" s="47">
        <f t="shared" ref="D102:H102" si="99">SUM(D93:D101)</f>
        <v>69694.756859172543</v>
      </c>
      <c r="E102" s="47">
        <f t="shared" si="99"/>
        <v>252052.6353126856</v>
      </c>
      <c r="F102" s="47">
        <f t="shared" si="99"/>
        <v>55673.378961531562</v>
      </c>
      <c r="G102" s="47">
        <f t="shared" si="99"/>
        <v>30715.607063519998</v>
      </c>
      <c r="H102" s="47">
        <f t="shared" si="99"/>
        <v>22257.729955963194</v>
      </c>
      <c r="I102" s="71"/>
      <c r="J102" s="47">
        <f t="shared" ref="J102:AN102" si="100">SUM(J93:J101)</f>
        <v>17417.234731872537</v>
      </c>
      <c r="K102" s="47">
        <f t="shared" si="100"/>
        <v>17067.774476099999</v>
      </c>
      <c r="L102" s="47">
        <f t="shared" si="100"/>
        <v>16920.718935600002</v>
      </c>
      <c r="M102" s="47">
        <f t="shared" si="100"/>
        <v>18289.028715599998</v>
      </c>
      <c r="N102" s="47"/>
      <c r="O102" s="47">
        <f t="shared" si="100"/>
        <v>18147.137443067997</v>
      </c>
      <c r="P102" s="47">
        <f t="shared" ref="P102" si="101">SUM(P93:P101)</f>
        <v>17165.670203568003</v>
      </c>
      <c r="Q102" s="47">
        <f t="shared" si="100"/>
        <v>18128.50608268115</v>
      </c>
      <c r="R102" s="47">
        <f t="shared" si="100"/>
        <v>18289.028715599998</v>
      </c>
      <c r="S102" s="47">
        <f t="shared" si="100"/>
        <v>18049.241715600001</v>
      </c>
      <c r="T102" s="47">
        <f t="shared" ref="T102:U102" si="102">SUM(T93:T101)</f>
        <v>17165.670203568003</v>
      </c>
      <c r="U102" s="47">
        <f t="shared" si="102"/>
        <v>18289.028715599998</v>
      </c>
      <c r="V102" s="47">
        <f t="shared" si="100"/>
        <v>16920.718935600002</v>
      </c>
      <c r="W102" s="47">
        <f t="shared" si="100"/>
        <v>10217.0622895125</v>
      </c>
      <c r="X102" s="47">
        <f t="shared" si="100"/>
        <v>10898.3976</v>
      </c>
      <c r="Y102" s="47">
        <f t="shared" si="100"/>
        <v>0</v>
      </c>
      <c r="Z102" s="47">
        <f t="shared" si="100"/>
        <v>3321.7574388000003</v>
      </c>
      <c r="AA102" s="47">
        <f t="shared" si="100"/>
        <v>10066.3303605</v>
      </c>
      <c r="AB102" s="47">
        <f t="shared" si="100"/>
        <v>3224.0586905999999</v>
      </c>
      <c r="AC102" s="47">
        <f t="shared" si="100"/>
        <v>9769.8748200000009</v>
      </c>
      <c r="AD102" s="47">
        <f t="shared" si="100"/>
        <v>3224.0586905999999</v>
      </c>
      <c r="AE102" s="47">
        <f t="shared" si="100"/>
        <v>9916.9303605000005</v>
      </c>
      <c r="AF102" s="47">
        <f t="shared" si="100"/>
        <v>19506.027505887945</v>
      </c>
      <c r="AG102" s="47">
        <f t="shared" si="100"/>
        <v>9916.9303605000005</v>
      </c>
      <c r="AH102" s="47">
        <f t="shared" si="100"/>
        <v>10066.3303605</v>
      </c>
      <c r="AI102" s="47">
        <f t="shared" si="100"/>
        <v>9769.8748200000009</v>
      </c>
      <c r="AJ102" s="47">
        <f t="shared" si="100"/>
        <v>10067.662289512498</v>
      </c>
      <c r="AK102" s="47">
        <f t="shared" si="100"/>
        <v>10371.562516750309</v>
      </c>
      <c r="AL102" s="47">
        <f t="shared" si="100"/>
        <v>10066.3303605</v>
      </c>
      <c r="AM102" s="47">
        <f t="shared" ref="AM102" si="103">SUM(AM93:AM101)</f>
        <v>10066.3303605</v>
      </c>
      <c r="AN102" s="47">
        <f t="shared" si="100"/>
        <v>15101.49343426875</v>
      </c>
      <c r="AO102" s="67"/>
      <c r="AP102" s="38">
        <f t="shared" ref="AP102:AT102" si="104">+SUM(AP93:AP101)</f>
        <v>0</v>
      </c>
      <c r="AQ102" s="47">
        <f t="shared" si="104"/>
        <v>12206.095800000001</v>
      </c>
      <c r="AR102" s="38">
        <f t="shared" si="104"/>
        <v>4495.6724172318009</v>
      </c>
      <c r="AS102" s="38">
        <f t="shared" si="104"/>
        <v>10552.013184000001</v>
      </c>
      <c r="AT102" s="38">
        <f t="shared" si="104"/>
        <v>893.66513039999995</v>
      </c>
      <c r="AU102" s="38">
        <f t="shared" ref="AU102" si="105">+SUM(AU93:AU101)</f>
        <v>0</v>
      </c>
      <c r="AV102" s="38">
        <f>+SUM(AV93:AV101)</f>
        <v>2580.7715760000006</v>
      </c>
      <c r="AW102" s="38">
        <f>+SUM(AW93:AW101)</f>
        <v>40285.243199999997</v>
      </c>
      <c r="AX102" s="38">
        <f t="shared" ref="AX102" si="106">+SUM(AX93:AX101)</f>
        <v>0</v>
      </c>
      <c r="AY102" s="38">
        <f>+SUM(AY93:AY101)</f>
        <v>28692.156657600706</v>
      </c>
      <c r="AZ102" s="38">
        <f>+SUM(AZ93:AZ101)</f>
        <v>0</v>
      </c>
      <c r="BA102" s="71"/>
      <c r="BB102" s="50">
        <f>SUM(BB93:BB101)</f>
        <v>540099.72611810535</v>
      </c>
      <c r="BD102" s="100">
        <f>SUM(BD93:BD101)</f>
        <v>200324.94000000003</v>
      </c>
      <c r="BE102" s="278">
        <f>SUM(BE93:BE101)</f>
        <v>384355.47429597884</v>
      </c>
    </row>
    <row r="103" spans="1:57">
      <c r="C103" s="47"/>
      <c r="D103" s="47"/>
      <c r="E103" s="47"/>
      <c r="F103" s="47"/>
      <c r="G103" s="47"/>
      <c r="H103" s="47"/>
      <c r="I103" s="71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67"/>
      <c r="AP103" s="38"/>
      <c r="AQ103" s="47"/>
      <c r="AR103" s="38"/>
      <c r="AS103" s="38"/>
      <c r="AT103" s="38"/>
      <c r="AU103" s="38"/>
      <c r="AV103" s="38"/>
      <c r="AW103" s="38"/>
      <c r="AX103" s="38"/>
      <c r="AY103" s="38"/>
      <c r="AZ103" s="38"/>
      <c r="BA103" s="71"/>
      <c r="BB103" s="50"/>
      <c r="BD103" s="100"/>
      <c r="BE103" s="290"/>
    </row>
    <row r="104" spans="1:57" s="30" customFormat="1" ht="10">
      <c r="A104" s="35"/>
      <c r="B104" s="35" t="s">
        <v>235</v>
      </c>
      <c r="C104" s="50">
        <f>SUM(C90+C102)</f>
        <v>20500</v>
      </c>
      <c r="D104" s="50">
        <f t="shared" ref="D104:H104" si="107">SUM(D90+D102)</f>
        <v>332218.25926327257</v>
      </c>
      <c r="E104" s="50">
        <f t="shared" si="107"/>
        <v>1256514.0068835397</v>
      </c>
      <c r="F104" s="50">
        <f t="shared" si="107"/>
        <v>290975.06143496901</v>
      </c>
      <c r="G104" s="50">
        <f t="shared" si="107"/>
        <v>158243.36786351999</v>
      </c>
      <c r="H104" s="50">
        <f t="shared" si="107"/>
        <v>119194.96928637281</v>
      </c>
      <c r="I104" s="74"/>
      <c r="J104" s="50">
        <f t="shared" ref="J104:AN104" si="108">SUM(J90+J102)</f>
        <v>83004.90763597253</v>
      </c>
      <c r="K104" s="50">
        <f t="shared" si="108"/>
        <v>80316.355976099992</v>
      </c>
      <c r="L104" s="50">
        <f t="shared" si="108"/>
        <v>79184.992935600007</v>
      </c>
      <c r="M104" s="50">
        <f t="shared" si="108"/>
        <v>89712.0027156</v>
      </c>
      <c r="N104" s="50"/>
      <c r="O104" s="50">
        <f t="shared" si="108"/>
        <v>88620.370663067995</v>
      </c>
      <c r="P104" s="50">
        <f t="shared" ref="P104" si="109">SUM(P90+P102)</f>
        <v>81069.510923567999</v>
      </c>
      <c r="Q104" s="50">
        <f t="shared" si="108"/>
        <v>88477.031401832093</v>
      </c>
      <c r="R104" s="50">
        <f t="shared" si="108"/>
        <v>89712.0027156</v>
      </c>
      <c r="S104" s="50">
        <f t="shared" si="108"/>
        <v>87867.215715600003</v>
      </c>
      <c r="T104" s="50">
        <f t="shared" ref="T104:U104" si="110">SUM(T90+T102)</f>
        <v>81069.510923567999</v>
      </c>
      <c r="U104" s="50">
        <f t="shared" si="110"/>
        <v>89712.0027156</v>
      </c>
      <c r="V104" s="50">
        <f t="shared" si="108"/>
        <v>79184.992935600007</v>
      </c>
      <c r="W104" s="50">
        <f t="shared" si="108"/>
        <v>53632.584977012491</v>
      </c>
      <c r="X104" s="50">
        <f t="shared" si="108"/>
        <v>58874.397599999997</v>
      </c>
      <c r="Y104" s="50">
        <f t="shared" si="108"/>
        <v>0</v>
      </c>
      <c r="Z104" s="50">
        <f t="shared" si="108"/>
        <v>17065.339438800002</v>
      </c>
      <c r="AA104" s="50">
        <f t="shared" si="108"/>
        <v>52472.937860499995</v>
      </c>
      <c r="AB104" s="50">
        <f t="shared" si="108"/>
        <v>16563.417690600003</v>
      </c>
      <c r="AC104" s="50">
        <f t="shared" si="108"/>
        <v>50192.17482</v>
      </c>
      <c r="AD104" s="50">
        <f t="shared" si="108"/>
        <v>16563.417690600003</v>
      </c>
      <c r="AE104" s="50">
        <f t="shared" si="108"/>
        <v>51323.537860500001</v>
      </c>
      <c r="AF104" s="50">
        <f t="shared" si="108"/>
        <v>100124.91041009105</v>
      </c>
      <c r="AG104" s="50">
        <f t="shared" si="108"/>
        <v>51323.537860500001</v>
      </c>
      <c r="AH104" s="50">
        <f t="shared" si="108"/>
        <v>52472.937860499995</v>
      </c>
      <c r="AI104" s="50">
        <f t="shared" si="108"/>
        <v>50192.17482</v>
      </c>
      <c r="AJ104" s="50">
        <f t="shared" si="108"/>
        <v>52483.18497701249</v>
      </c>
      <c r="AK104" s="50">
        <f t="shared" si="108"/>
        <v>54821.223271437797</v>
      </c>
      <c r="AL104" s="50">
        <f t="shared" si="108"/>
        <v>52472.937860499995</v>
      </c>
      <c r="AM104" s="50">
        <f t="shared" ref="AM104" si="111">SUM(AM90+AM102)</f>
        <v>52472.937860499995</v>
      </c>
      <c r="AN104" s="50">
        <f t="shared" si="108"/>
        <v>78724.777465518739</v>
      </c>
      <c r="AO104" s="70"/>
      <c r="AP104" s="50">
        <f t="shared" ref="AP104:AU104" si="112">SUM(AP90+AP102)</f>
        <v>0</v>
      </c>
      <c r="AQ104" s="50">
        <f t="shared" si="112"/>
        <v>67885.095799999996</v>
      </c>
      <c r="AR104" s="50">
        <f t="shared" si="112"/>
        <v>26131.192856731803</v>
      </c>
      <c r="AS104" s="50">
        <f t="shared" si="112"/>
        <v>63005.013184000003</v>
      </c>
      <c r="AT104" s="50">
        <f t="shared" si="112"/>
        <v>4880.8951304000002</v>
      </c>
      <c r="AU104" s="50">
        <f t="shared" si="112"/>
        <v>0</v>
      </c>
      <c r="AV104" s="40">
        <f>+AV90+AV102</f>
        <v>21602.811576</v>
      </c>
      <c r="AW104" s="40">
        <f>+AW90+AW102</f>
        <v>179823.2432</v>
      </c>
      <c r="AX104" s="40">
        <f t="shared" ref="AX104" si="113">+AX90+AX102</f>
        <v>0</v>
      </c>
      <c r="AY104" s="40">
        <f>+AY90+AY102</f>
        <v>119454.29760539661</v>
      </c>
      <c r="AZ104" s="40">
        <f>+AZ90+AZ102</f>
        <v>0</v>
      </c>
      <c r="BA104" s="74"/>
      <c r="BB104" s="40">
        <f>+BB90+BB102</f>
        <v>2660428.2140842029</v>
      </c>
      <c r="BD104" s="100">
        <f>SUM(BD90+BD102)</f>
        <v>1518814.21</v>
      </c>
      <c r="BE104" s="292">
        <f>SUM(BE90+BE102)</f>
        <v>2379036.593402599</v>
      </c>
    </row>
    <row r="105" spans="1:57">
      <c r="C105" s="47"/>
      <c r="D105" s="47"/>
      <c r="E105" s="47"/>
      <c r="F105" s="47"/>
      <c r="G105" s="47"/>
      <c r="H105" s="47"/>
      <c r="I105" s="71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67"/>
      <c r="AP105" s="38"/>
      <c r="AQ105" s="47"/>
      <c r="AR105" s="38"/>
      <c r="AS105" s="38"/>
      <c r="AT105" s="38"/>
      <c r="AU105" s="38"/>
      <c r="AV105" s="38"/>
      <c r="AW105" s="38"/>
      <c r="AX105" s="38"/>
      <c r="AY105" s="38"/>
      <c r="AZ105" s="38"/>
      <c r="BA105" s="71"/>
      <c r="BB105" s="50"/>
      <c r="BD105" s="100"/>
      <c r="BE105" s="290"/>
    </row>
    <row r="106" spans="1:57">
      <c r="A106" s="31" t="s">
        <v>236</v>
      </c>
      <c r="C106" s="47"/>
      <c r="D106" s="47"/>
      <c r="E106" s="47"/>
      <c r="F106" s="47"/>
      <c r="G106" s="47"/>
      <c r="H106" s="47"/>
      <c r="I106" s="71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67"/>
      <c r="AP106" s="38"/>
      <c r="AQ106" s="47"/>
      <c r="AR106" s="38"/>
      <c r="AS106" s="38"/>
      <c r="AT106" s="38"/>
      <c r="AU106" s="38"/>
      <c r="AV106" s="38"/>
      <c r="AW106" s="38"/>
      <c r="AX106" s="38"/>
      <c r="AY106" s="38"/>
      <c r="AZ106" s="38"/>
      <c r="BA106" s="71"/>
      <c r="BB106" s="50"/>
      <c r="BD106" s="100"/>
      <c r="BE106" s="290"/>
    </row>
    <row r="107" spans="1:57">
      <c r="A107" s="31" t="s">
        <v>237</v>
      </c>
      <c r="C107" s="47"/>
      <c r="D107" s="47"/>
      <c r="E107" s="47"/>
      <c r="F107" s="47"/>
      <c r="G107" s="47"/>
      <c r="H107" s="47"/>
      <c r="I107" s="71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67"/>
      <c r="AP107" s="38"/>
      <c r="AQ107" s="47"/>
      <c r="AR107" s="38"/>
      <c r="AS107" s="38"/>
      <c r="AT107" s="38"/>
      <c r="AU107" s="38"/>
      <c r="AV107" s="38"/>
      <c r="AW107" s="38"/>
      <c r="AX107" s="38"/>
      <c r="AY107" s="38"/>
      <c r="AZ107" s="38"/>
      <c r="BA107" s="71"/>
      <c r="BB107" s="50"/>
      <c r="BD107" s="100"/>
      <c r="BE107" s="290"/>
    </row>
    <row r="108" spans="1:57" ht="12">
      <c r="A108" s="31" t="s">
        <v>51</v>
      </c>
      <c r="B108" s="31" t="s">
        <v>50</v>
      </c>
      <c r="C108" s="47">
        <v>5000</v>
      </c>
      <c r="D108" s="47">
        <f t="shared" ref="D108:D121" si="114">SUM(J108:M108)</f>
        <v>0</v>
      </c>
      <c r="E108" s="64">
        <f t="shared" ref="E108:E121" si="115">SUM(O108:AI108)</f>
        <v>0</v>
      </c>
      <c r="F108" s="64">
        <f t="shared" ref="F108:F121" si="116">SUM(AJ108:AN108)</f>
        <v>0</v>
      </c>
      <c r="G108" s="47"/>
      <c r="H108" s="47"/>
      <c r="I108" s="71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67"/>
      <c r="AP108" s="54">
        <f>SUM('AC-SVC'!C108)*AP$7</f>
        <v>0</v>
      </c>
      <c r="AQ108" s="54">
        <f>SUM('AC-SVC'!D108)</f>
        <v>0</v>
      </c>
      <c r="AR108" s="54">
        <f>SUM('AC-SVC'!G108)</f>
        <v>0</v>
      </c>
      <c r="AS108" s="54">
        <f>SUM('AC-SVC'!J108)</f>
        <v>0</v>
      </c>
      <c r="AT108" s="54">
        <f>SUM('AC-SVC'!O108)</f>
        <v>0</v>
      </c>
      <c r="AU108" s="54">
        <f>SUM('AC-SVC'!P108)*AU$7</f>
        <v>0</v>
      </c>
      <c r="AV108" s="54">
        <f>SUM(PT!E108)</f>
        <v>0</v>
      </c>
      <c r="AW108" s="54">
        <f>SUM(FC!F108)</f>
        <v>0</v>
      </c>
      <c r="AX108" s="54">
        <v>0</v>
      </c>
      <c r="AY108" s="54">
        <f>SUM(FS!F108)</f>
        <v>0</v>
      </c>
      <c r="AZ108" s="54">
        <f>SUM(IT!F108)</f>
        <v>30300</v>
      </c>
      <c r="BA108" s="80"/>
      <c r="BB108" s="60">
        <f t="shared" ref="BB108:BB121" si="117">SUM(C108:H108)+SUM(AP108:AZ108)</f>
        <v>35300</v>
      </c>
      <c r="BD108" s="101">
        <v>1912.5</v>
      </c>
      <c r="BE108" s="288">
        <f>SUM(Sheet1!K108)</f>
        <v>8773.5849056603765</v>
      </c>
    </row>
    <row r="109" spans="1:57" ht="12">
      <c r="A109" s="31" t="s">
        <v>41</v>
      </c>
      <c r="B109" s="31" t="s">
        <v>42</v>
      </c>
      <c r="C109" s="47">
        <v>40000</v>
      </c>
      <c r="D109" s="47">
        <f t="shared" si="114"/>
        <v>0</v>
      </c>
      <c r="E109" s="64">
        <f t="shared" si="115"/>
        <v>52000</v>
      </c>
      <c r="F109" s="64">
        <f t="shared" si="116"/>
        <v>0</v>
      </c>
      <c r="G109" s="47"/>
      <c r="H109" s="47"/>
      <c r="I109" s="71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>
        <v>52000</v>
      </c>
      <c r="AG109" s="47"/>
      <c r="AH109" s="47"/>
      <c r="AI109" s="47"/>
      <c r="AJ109" s="47"/>
      <c r="AK109" s="47"/>
      <c r="AL109" s="47"/>
      <c r="AM109" s="47"/>
      <c r="AN109" s="47"/>
      <c r="AO109" s="67"/>
      <c r="AP109" s="54">
        <f>SUM('AC-SVC'!C109)*AP$7</f>
        <v>0</v>
      </c>
      <c r="AQ109" s="54">
        <f>SUM('AC-SVC'!D109)</f>
        <v>0</v>
      </c>
      <c r="AR109" s="54">
        <f>SUM('AC-SVC'!G109)</f>
        <v>37800</v>
      </c>
      <c r="AS109" s="54">
        <f>SUM('AC-SVC'!J109)</f>
        <v>0</v>
      </c>
      <c r="AT109" s="54">
        <f>SUM('AC-SVC'!O109)</f>
        <v>2200</v>
      </c>
      <c r="AU109" s="54">
        <f>SUM('AC-SVC'!P109)*AU$7</f>
        <v>0</v>
      </c>
      <c r="AV109" s="54">
        <f>SUM(PT!E109)</f>
        <v>0</v>
      </c>
      <c r="AW109" s="54">
        <f>SUM(FC!F109)</f>
        <v>0</v>
      </c>
      <c r="AX109" s="54">
        <v>0</v>
      </c>
      <c r="AY109" s="54">
        <f>SUM(FS!F109)</f>
        <v>0</v>
      </c>
      <c r="AZ109" s="54">
        <f>SUM(IT!F109)</f>
        <v>0</v>
      </c>
      <c r="BA109" s="80"/>
      <c r="BB109" s="60">
        <f t="shared" si="117"/>
        <v>132000</v>
      </c>
      <c r="BD109" s="101">
        <v>91500</v>
      </c>
      <c r="BE109" s="288">
        <f>SUM(Sheet1!K109)</f>
        <v>149370.70943396227</v>
      </c>
    </row>
    <row r="110" spans="1:57" ht="12">
      <c r="A110" s="31" t="s">
        <v>43</v>
      </c>
      <c r="B110" s="31" t="s">
        <v>238</v>
      </c>
      <c r="C110" s="47"/>
      <c r="D110" s="47">
        <f t="shared" si="114"/>
        <v>2000</v>
      </c>
      <c r="E110" s="64">
        <f t="shared" si="115"/>
        <v>8400</v>
      </c>
      <c r="F110" s="64">
        <f t="shared" si="116"/>
        <v>2500</v>
      </c>
      <c r="G110" s="47"/>
      <c r="H110" s="47"/>
      <c r="I110" s="71"/>
      <c r="J110" s="47">
        <v>500</v>
      </c>
      <c r="K110" s="47">
        <v>500</v>
      </c>
      <c r="L110" s="47">
        <v>500</v>
      </c>
      <c r="M110" s="47">
        <v>500</v>
      </c>
      <c r="N110" s="47">
        <v>500</v>
      </c>
      <c r="O110" s="47">
        <v>500</v>
      </c>
      <c r="P110" s="47">
        <v>500</v>
      </c>
      <c r="Q110" s="47">
        <v>500</v>
      </c>
      <c r="R110" s="47">
        <v>500</v>
      </c>
      <c r="S110" s="47">
        <v>500</v>
      </c>
      <c r="T110" s="47">
        <v>500</v>
      </c>
      <c r="U110" s="47">
        <v>500</v>
      </c>
      <c r="V110" s="47">
        <v>500</v>
      </c>
      <c r="W110" s="47">
        <v>500</v>
      </c>
      <c r="X110" s="47">
        <v>500</v>
      </c>
      <c r="Y110" s="47"/>
      <c r="Z110" s="47">
        <f>500*Z7</f>
        <v>170</v>
      </c>
      <c r="AA110" s="47">
        <v>500</v>
      </c>
      <c r="AB110" s="47">
        <f>500*AB7</f>
        <v>165</v>
      </c>
      <c r="AC110" s="47">
        <v>400</v>
      </c>
      <c r="AD110" s="47">
        <f>500*AD7</f>
        <v>165</v>
      </c>
      <c r="AE110" s="47">
        <v>500</v>
      </c>
      <c r="AF110" s="47">
        <v>500</v>
      </c>
      <c r="AG110" s="47">
        <v>500</v>
      </c>
      <c r="AH110" s="47">
        <v>0</v>
      </c>
      <c r="AI110" s="47">
        <v>500</v>
      </c>
      <c r="AJ110" s="47">
        <v>500</v>
      </c>
      <c r="AK110" s="47">
        <v>500</v>
      </c>
      <c r="AL110" s="47">
        <v>500</v>
      </c>
      <c r="AM110" s="47">
        <v>500</v>
      </c>
      <c r="AN110" s="47">
        <v>500</v>
      </c>
      <c r="AO110" s="67"/>
      <c r="AP110" s="54">
        <f>SUM('AC-SVC'!C110)*AP$7</f>
        <v>0</v>
      </c>
      <c r="AQ110" s="54">
        <f>SUM('AC-SVC'!D110)</f>
        <v>0</v>
      </c>
      <c r="AR110" s="54">
        <f>SUM('AC-SVC'!G110)</f>
        <v>0</v>
      </c>
      <c r="AS110" s="54">
        <f>SUM('AC-SVC'!J110)</f>
        <v>0</v>
      </c>
      <c r="AT110" s="54">
        <f>SUM('AC-SVC'!O110)</f>
        <v>0</v>
      </c>
      <c r="AU110" s="54">
        <f>SUM('AC-SVC'!P110)*AU$7</f>
        <v>0</v>
      </c>
      <c r="AV110" s="54">
        <f>SUM(PT!E110)</f>
        <v>0</v>
      </c>
      <c r="AW110" s="54">
        <f>SUM(FC!F110)</f>
        <v>0</v>
      </c>
      <c r="AX110" s="54">
        <v>0</v>
      </c>
      <c r="AY110" s="54">
        <f>SUM(FS!F110)</f>
        <v>600</v>
      </c>
      <c r="AZ110" s="54">
        <f>SUM(IT!F110)</f>
        <v>0</v>
      </c>
      <c r="BA110" s="80"/>
      <c r="BB110" s="60">
        <f t="shared" si="117"/>
        <v>13500</v>
      </c>
      <c r="BD110" s="101">
        <v>2844.99</v>
      </c>
      <c r="BE110" s="288">
        <f>SUM(Sheet1!K110)</f>
        <v>3605.7396226415094</v>
      </c>
    </row>
    <row r="111" spans="1:57" ht="12">
      <c r="A111" s="31" t="s">
        <v>44</v>
      </c>
      <c r="B111" s="31" t="s">
        <v>45</v>
      </c>
      <c r="C111" s="47"/>
      <c r="D111" s="47">
        <f t="shared" si="114"/>
        <v>0</v>
      </c>
      <c r="E111" s="64">
        <f t="shared" si="115"/>
        <v>0</v>
      </c>
      <c r="F111" s="64">
        <f t="shared" si="116"/>
        <v>0</v>
      </c>
      <c r="G111" s="47"/>
      <c r="H111" s="47"/>
      <c r="I111" s="71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67"/>
      <c r="AP111" s="54">
        <f>SUM('AC-SVC'!C111)*AP$7</f>
        <v>0</v>
      </c>
      <c r="AQ111" s="54">
        <f>SUM('AC-SVC'!D111)</f>
        <v>0</v>
      </c>
      <c r="AR111" s="54">
        <f>SUM('AC-SVC'!G111)</f>
        <v>0</v>
      </c>
      <c r="AS111" s="54">
        <f>SUM('AC-SVC'!J111)</f>
        <v>0</v>
      </c>
      <c r="AT111" s="54">
        <f>SUM('AC-SVC'!O111)</f>
        <v>0</v>
      </c>
      <c r="AU111" s="54">
        <f>SUM('AC-SVC'!P111)*AU$7</f>
        <v>0</v>
      </c>
      <c r="AV111" s="54">
        <f>SUM(PT!E111)</f>
        <v>0</v>
      </c>
      <c r="AW111" s="54">
        <f>SUM(FC!F111)</f>
        <v>3000</v>
      </c>
      <c r="AX111" s="54">
        <v>0</v>
      </c>
      <c r="AY111" s="54">
        <f>SUM(FS!F111)</f>
        <v>0</v>
      </c>
      <c r="AZ111" s="54">
        <f>SUM(IT!F111)</f>
        <v>0</v>
      </c>
      <c r="BA111" s="80"/>
      <c r="BB111" s="60">
        <f t="shared" si="117"/>
        <v>3000</v>
      </c>
      <c r="BD111" s="101"/>
      <c r="BE111" s="288">
        <f>SUM(Sheet1!K111)</f>
        <v>0</v>
      </c>
    </row>
    <row r="112" spans="1:57" ht="12">
      <c r="A112" s="31" t="s">
        <v>46</v>
      </c>
      <c r="B112" s="31" t="s">
        <v>239</v>
      </c>
      <c r="C112" s="47"/>
      <c r="D112" s="47">
        <f t="shared" si="114"/>
        <v>0</v>
      </c>
      <c r="E112" s="64">
        <f t="shared" si="115"/>
        <v>0</v>
      </c>
      <c r="F112" s="64">
        <f t="shared" si="116"/>
        <v>0</v>
      </c>
      <c r="G112" s="47"/>
      <c r="H112" s="47"/>
      <c r="I112" s="71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67"/>
      <c r="AP112" s="54">
        <f>SUM('AC-SVC'!C112)*AP$7</f>
        <v>0</v>
      </c>
      <c r="AQ112" s="54">
        <f>SUM('AC-SVC'!D112)</f>
        <v>0</v>
      </c>
      <c r="AR112" s="54">
        <f>SUM('AC-SVC'!G112)</f>
        <v>0</v>
      </c>
      <c r="AS112" s="54">
        <f>SUM('AC-SVC'!J112)</f>
        <v>0</v>
      </c>
      <c r="AT112" s="54">
        <f>SUM('AC-SVC'!O112)</f>
        <v>0</v>
      </c>
      <c r="AU112" s="54">
        <f>SUM('AC-SVC'!P112)*AU$7</f>
        <v>0</v>
      </c>
      <c r="AV112" s="54">
        <f>SUM(PT!E112)</f>
        <v>0</v>
      </c>
      <c r="AW112" s="54">
        <f>SUM(FC!F112)</f>
        <v>0</v>
      </c>
      <c r="AX112" s="54">
        <v>0</v>
      </c>
      <c r="AY112" s="54">
        <f>SUM(FS!F112)</f>
        <v>0</v>
      </c>
      <c r="AZ112" s="54">
        <f>SUM(IT!F112)</f>
        <v>0</v>
      </c>
      <c r="BA112" s="80"/>
      <c r="BB112" s="60">
        <f t="shared" si="117"/>
        <v>0</v>
      </c>
      <c r="BD112" s="101">
        <v>3008.13</v>
      </c>
      <c r="BE112" s="288">
        <f>SUM(Sheet1!K112)</f>
        <v>1171.9924528301888</v>
      </c>
    </row>
    <row r="113" spans="1:57" ht="12">
      <c r="A113" s="31" t="s">
        <v>47</v>
      </c>
      <c r="B113" s="31" t="s">
        <v>240</v>
      </c>
      <c r="C113" s="47"/>
      <c r="D113" s="47">
        <f t="shared" si="114"/>
        <v>0</v>
      </c>
      <c r="E113" s="64">
        <f t="shared" si="115"/>
        <v>0</v>
      </c>
      <c r="F113" s="64">
        <f t="shared" si="116"/>
        <v>0</v>
      </c>
      <c r="G113" s="47"/>
      <c r="H113" s="47"/>
      <c r="I113" s="71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67"/>
      <c r="AP113" s="54">
        <f>SUM('AC-SVC'!C113)*AP$7</f>
        <v>0</v>
      </c>
      <c r="AQ113" s="54">
        <f>SUM('AC-SVC'!D113)</f>
        <v>0</v>
      </c>
      <c r="AR113" s="54">
        <f>SUM('AC-SVC'!G113)</f>
        <v>0</v>
      </c>
      <c r="AS113" s="54">
        <f>SUM('AC-SVC'!J113)</f>
        <v>0</v>
      </c>
      <c r="AT113" s="54">
        <f>SUM('AC-SVC'!O113)</f>
        <v>0</v>
      </c>
      <c r="AU113" s="54">
        <f>SUM('AC-SVC'!P113)*AU$7</f>
        <v>0</v>
      </c>
      <c r="AV113" s="54">
        <f>SUM(PT!E113)</f>
        <v>0</v>
      </c>
      <c r="AW113" s="54">
        <f>SUM(FC!F113)</f>
        <v>0</v>
      </c>
      <c r="AX113" s="54">
        <v>0</v>
      </c>
      <c r="AY113" s="54">
        <f>SUM(FS!F113)</f>
        <v>0</v>
      </c>
      <c r="AZ113" s="54">
        <f>SUM(IT!F113)</f>
        <v>0</v>
      </c>
      <c r="BA113" s="80"/>
      <c r="BB113" s="60">
        <f t="shared" si="117"/>
        <v>0</v>
      </c>
      <c r="BD113" s="101">
        <v>0</v>
      </c>
      <c r="BE113" s="288">
        <f>SUM(Sheet1!K113)</f>
        <v>8473.6830188679232</v>
      </c>
    </row>
    <row r="114" spans="1:57" ht="12">
      <c r="A114" s="31" t="s">
        <v>48</v>
      </c>
      <c r="B114" s="31" t="s">
        <v>49</v>
      </c>
      <c r="C114" s="47"/>
      <c r="D114" s="47">
        <f t="shared" si="114"/>
        <v>0</v>
      </c>
      <c r="E114" s="64">
        <f t="shared" si="115"/>
        <v>0</v>
      </c>
      <c r="F114" s="64">
        <f t="shared" si="116"/>
        <v>0</v>
      </c>
      <c r="G114" s="47"/>
      <c r="H114" s="47"/>
      <c r="I114" s="71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67"/>
      <c r="AP114" s="54">
        <f>SUM('AC-SVC'!C114)*AP$7</f>
        <v>0</v>
      </c>
      <c r="AQ114" s="54">
        <f>SUM('AC-SVC'!D114)</f>
        <v>0</v>
      </c>
      <c r="AR114" s="54">
        <f>SUM('AC-SVC'!G114)</f>
        <v>0</v>
      </c>
      <c r="AS114" s="54">
        <f>SUM('AC-SVC'!J114)</f>
        <v>0</v>
      </c>
      <c r="AT114" s="54">
        <f>SUM('AC-SVC'!O114)</f>
        <v>0</v>
      </c>
      <c r="AU114" s="54">
        <f>SUM('AC-SVC'!P114)*AU$7</f>
        <v>0</v>
      </c>
      <c r="AV114" s="54">
        <f>SUM(PT!E114)</f>
        <v>0</v>
      </c>
      <c r="AW114" s="54">
        <f>SUM(FC!F114)</f>
        <v>9500</v>
      </c>
      <c r="AX114" s="54">
        <v>0</v>
      </c>
      <c r="AY114" s="54">
        <f>SUM(FS!F114)</f>
        <v>0</v>
      </c>
      <c r="AZ114" s="54">
        <f>SUM(IT!F114)</f>
        <v>1800</v>
      </c>
      <c r="BA114" s="80"/>
      <c r="BB114" s="60">
        <f t="shared" si="117"/>
        <v>11300</v>
      </c>
      <c r="BD114" s="101">
        <v>6118.62</v>
      </c>
      <c r="BE114" s="288">
        <f>SUM(Sheet1!K114)</f>
        <v>9881.0792452830174</v>
      </c>
    </row>
    <row r="115" spans="1:57" ht="12">
      <c r="A115" s="31" t="s">
        <v>82</v>
      </c>
      <c r="B115" s="31" t="s">
        <v>166</v>
      </c>
      <c r="C115" s="47"/>
      <c r="D115" s="47">
        <f t="shared" ref="D115:D120" si="118">SUM(J115:M115)</f>
        <v>200</v>
      </c>
      <c r="E115" s="64">
        <f t="shared" si="115"/>
        <v>700</v>
      </c>
      <c r="F115" s="64">
        <f t="shared" si="116"/>
        <v>125</v>
      </c>
      <c r="G115" s="47"/>
      <c r="H115" s="47"/>
      <c r="I115" s="71"/>
      <c r="J115" s="47">
        <v>50</v>
      </c>
      <c r="K115" s="47">
        <v>50</v>
      </c>
      <c r="L115" s="47">
        <v>50</v>
      </c>
      <c r="M115" s="47">
        <v>50</v>
      </c>
      <c r="N115" s="47"/>
      <c r="O115" s="47">
        <v>50</v>
      </c>
      <c r="P115" s="47">
        <v>50</v>
      </c>
      <c r="Q115" s="47">
        <v>50</v>
      </c>
      <c r="R115" s="47">
        <v>50</v>
      </c>
      <c r="S115" s="47">
        <v>50</v>
      </c>
      <c r="T115" s="47">
        <v>0</v>
      </c>
      <c r="U115" s="47">
        <v>0</v>
      </c>
      <c r="V115" s="47">
        <v>0</v>
      </c>
      <c r="W115" s="47">
        <v>50</v>
      </c>
      <c r="X115" s="47">
        <v>50</v>
      </c>
      <c r="Y115" s="47">
        <v>0</v>
      </c>
      <c r="Z115" s="47">
        <v>50</v>
      </c>
      <c r="AA115" s="47">
        <v>50</v>
      </c>
      <c r="AB115" s="47">
        <v>0</v>
      </c>
      <c r="AC115" s="47">
        <v>50</v>
      </c>
      <c r="AD115" s="47">
        <v>0</v>
      </c>
      <c r="AE115" s="47">
        <v>50</v>
      </c>
      <c r="AF115" s="47">
        <f>50*2</f>
        <v>100</v>
      </c>
      <c r="AG115" s="47">
        <v>50</v>
      </c>
      <c r="AH115" s="47">
        <v>0</v>
      </c>
      <c r="AI115" s="47">
        <v>0</v>
      </c>
      <c r="AJ115" s="47">
        <f t="shared" ref="AJ115:AN115" si="119">50*0.5</f>
        <v>25</v>
      </c>
      <c r="AK115" s="47">
        <f t="shared" si="119"/>
        <v>25</v>
      </c>
      <c r="AL115" s="47">
        <f t="shared" si="119"/>
        <v>25</v>
      </c>
      <c r="AM115" s="47">
        <f t="shared" si="119"/>
        <v>25</v>
      </c>
      <c r="AN115" s="47">
        <f t="shared" si="119"/>
        <v>25</v>
      </c>
      <c r="AO115" s="67"/>
      <c r="AP115" s="54">
        <f>SUM('AC-SVC'!C115)*AP$7</f>
        <v>0</v>
      </c>
      <c r="AQ115" s="54">
        <f>SUM('AC-SVC'!D115)</f>
        <v>0</v>
      </c>
      <c r="AR115" s="54">
        <f>SUM('AC-SVC'!G115)</f>
        <v>0</v>
      </c>
      <c r="AS115" s="54">
        <f>SUM('AC-SVC'!J115)</f>
        <v>0</v>
      </c>
      <c r="AT115" s="54">
        <f>SUM('AC-SVC'!O115)</f>
        <v>0</v>
      </c>
      <c r="AU115" s="54">
        <f>SUM('AC-SVC'!P115)*AU$7</f>
        <v>0</v>
      </c>
      <c r="AV115" s="54">
        <f>SUM(PT!E115)</f>
        <v>0</v>
      </c>
      <c r="AW115" s="54">
        <f>SUM(FC!F115)</f>
        <v>0</v>
      </c>
      <c r="AX115" s="54">
        <v>0</v>
      </c>
      <c r="AY115" s="54">
        <f>SUM(FS!F115)</f>
        <v>0</v>
      </c>
      <c r="AZ115" s="54">
        <f>SUM(IT!F115)</f>
        <v>0</v>
      </c>
      <c r="BA115" s="80"/>
      <c r="BB115" s="60">
        <f t="shared" si="117"/>
        <v>1025</v>
      </c>
      <c r="BD115" s="101">
        <v>75</v>
      </c>
      <c r="BE115" s="288">
        <f>SUM(Sheet1!K115)</f>
        <v>56.60377358490566</v>
      </c>
    </row>
    <row r="116" spans="1:57" ht="12">
      <c r="A116" s="31" t="s">
        <v>104</v>
      </c>
      <c r="B116" s="31" t="s">
        <v>103</v>
      </c>
      <c r="C116" s="47"/>
      <c r="D116" s="47">
        <f t="shared" si="118"/>
        <v>0</v>
      </c>
      <c r="E116" s="64">
        <f t="shared" si="115"/>
        <v>0</v>
      </c>
      <c r="F116" s="64">
        <f t="shared" si="116"/>
        <v>0</v>
      </c>
      <c r="G116" s="47"/>
      <c r="H116" s="47"/>
      <c r="I116" s="71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67"/>
      <c r="AP116" s="54">
        <f>SUM('AC-SVC'!C116)*AP$7</f>
        <v>0</v>
      </c>
      <c r="AQ116" s="54">
        <f>SUM('AC-SVC'!D116)</f>
        <v>0</v>
      </c>
      <c r="AR116" s="54">
        <f>SUM('AC-SVC'!G116)</f>
        <v>0</v>
      </c>
      <c r="AS116" s="54">
        <f>SUM('AC-SVC'!J116)</f>
        <v>0</v>
      </c>
      <c r="AT116" s="54">
        <f>SUM('AC-SVC'!O116)</f>
        <v>0</v>
      </c>
      <c r="AU116" s="54">
        <f>SUM('AC-SVC'!P116)*AU$7</f>
        <v>0</v>
      </c>
      <c r="AV116" s="54">
        <f>SUM(PT!E116)</f>
        <v>0</v>
      </c>
      <c r="AW116" s="54">
        <f>SUM(FC!F116)</f>
        <v>0</v>
      </c>
      <c r="AX116" s="54">
        <v>0</v>
      </c>
      <c r="AY116" s="54">
        <f>SUM(FS!F116)</f>
        <v>0</v>
      </c>
      <c r="AZ116" s="54">
        <f>SUM(IT!F116)</f>
        <v>0</v>
      </c>
      <c r="BA116" s="80"/>
      <c r="BB116" s="60">
        <f t="shared" si="117"/>
        <v>0</v>
      </c>
      <c r="BD116" s="101"/>
      <c r="BE116" s="288">
        <f>SUM(Sheet1!K116)</f>
        <v>0</v>
      </c>
    </row>
    <row r="117" spans="1:57" ht="12">
      <c r="A117" s="31" t="s">
        <v>59</v>
      </c>
      <c r="B117" s="31" t="s">
        <v>318</v>
      </c>
      <c r="C117" s="47"/>
      <c r="D117" s="47">
        <f t="shared" si="118"/>
        <v>0</v>
      </c>
      <c r="E117" s="64">
        <f t="shared" si="115"/>
        <v>0</v>
      </c>
      <c r="F117" s="64">
        <f t="shared" si="116"/>
        <v>0</v>
      </c>
      <c r="G117" s="47"/>
      <c r="H117" s="47"/>
      <c r="I117" s="71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67"/>
      <c r="AP117" s="54">
        <f>SUM('AC-SVC'!C117)*AP$7</f>
        <v>0</v>
      </c>
      <c r="AQ117" s="54">
        <f>SUM('AC-SVC'!D117)</f>
        <v>0</v>
      </c>
      <c r="AR117" s="54">
        <f>SUM('AC-SVC'!G117)</f>
        <v>0</v>
      </c>
      <c r="AS117" s="54">
        <f>SUM('AC-SVC'!J117)</f>
        <v>0</v>
      </c>
      <c r="AT117" s="54">
        <f>SUM('AC-SVC'!O117)</f>
        <v>0</v>
      </c>
      <c r="AU117" s="54">
        <f>SUM('AC-SVC'!P117)*AU$7</f>
        <v>0</v>
      </c>
      <c r="AV117" s="54">
        <f>SUM(PT!E117)</f>
        <v>0</v>
      </c>
      <c r="AW117" s="54">
        <f>SUM(FC!F117)</f>
        <v>3000</v>
      </c>
      <c r="AX117" s="54">
        <v>0</v>
      </c>
      <c r="AY117" s="54">
        <f>SUM(FS!F117)</f>
        <v>0</v>
      </c>
      <c r="AZ117" s="54">
        <f>SUM(IT!F117)</f>
        <v>0</v>
      </c>
      <c r="BA117" s="80"/>
      <c r="BB117" s="60">
        <f t="shared" si="117"/>
        <v>3000</v>
      </c>
      <c r="BD117" s="101">
        <v>486</v>
      </c>
      <c r="BE117" s="288">
        <f>SUM(Sheet1!K117)</f>
        <v>1173.4754716981133</v>
      </c>
    </row>
    <row r="118" spans="1:57" ht="12">
      <c r="A118" s="31" t="s">
        <v>87</v>
      </c>
      <c r="B118" s="31" t="s">
        <v>88</v>
      </c>
      <c r="C118" s="47"/>
      <c r="D118" s="47">
        <f t="shared" si="118"/>
        <v>0</v>
      </c>
      <c r="E118" s="64">
        <f t="shared" si="115"/>
        <v>0</v>
      </c>
      <c r="F118" s="64">
        <f t="shared" si="116"/>
        <v>0</v>
      </c>
      <c r="G118" s="47"/>
      <c r="H118" s="47"/>
      <c r="I118" s="71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67"/>
      <c r="AP118" s="54">
        <f>SUM('AC-SVC'!C118)*AP$7</f>
        <v>0</v>
      </c>
      <c r="AQ118" s="54">
        <f>SUM('AC-SVC'!D118)</f>
        <v>0</v>
      </c>
      <c r="AR118" s="54">
        <f>SUM('AC-SVC'!G118)</f>
        <v>0</v>
      </c>
      <c r="AS118" s="54">
        <f>SUM('AC-SVC'!J118)</f>
        <v>0</v>
      </c>
      <c r="AT118" s="54">
        <f>SUM('AC-SVC'!O118)</f>
        <v>0</v>
      </c>
      <c r="AU118" s="54">
        <f>SUM('AC-SVC'!P118)*AU$7</f>
        <v>0</v>
      </c>
      <c r="AV118" s="54">
        <f>SUM(PT!E118)</f>
        <v>0</v>
      </c>
      <c r="AW118" s="54">
        <f>SUM(FC!F118)</f>
        <v>0</v>
      </c>
      <c r="AX118" s="54">
        <v>0</v>
      </c>
      <c r="AY118" s="54">
        <f>SUM(FS!F118)</f>
        <v>0</v>
      </c>
      <c r="AZ118" s="54">
        <f>SUM(IT!F118)</f>
        <v>0</v>
      </c>
      <c r="BA118" s="80"/>
      <c r="BB118" s="60">
        <f t="shared" si="117"/>
        <v>0</v>
      </c>
      <c r="BD118" s="101">
        <v>9139.44</v>
      </c>
      <c r="BE118" s="288">
        <f>SUM(Sheet1!K118)</f>
        <v>6053.5207547169821</v>
      </c>
    </row>
    <row r="119" spans="1:57" ht="12">
      <c r="A119" s="31" t="s">
        <v>89</v>
      </c>
      <c r="B119" s="31" t="s">
        <v>90</v>
      </c>
      <c r="C119" s="47"/>
      <c r="D119" s="47">
        <f t="shared" si="118"/>
        <v>0</v>
      </c>
      <c r="E119" s="64">
        <f t="shared" si="115"/>
        <v>0</v>
      </c>
      <c r="F119" s="64">
        <f t="shared" si="116"/>
        <v>0</v>
      </c>
      <c r="G119" s="47"/>
      <c r="H119" s="47"/>
      <c r="I119" s="7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67"/>
      <c r="AP119" s="54">
        <f>SUM('AC-SVC'!C119)*AP$7</f>
        <v>0</v>
      </c>
      <c r="AQ119" s="54">
        <f>SUM('AC-SVC'!D119)</f>
        <v>0</v>
      </c>
      <c r="AR119" s="54">
        <f>SUM('AC-SVC'!G119)</f>
        <v>0</v>
      </c>
      <c r="AS119" s="54">
        <f>SUM('AC-SVC'!J119)</f>
        <v>0</v>
      </c>
      <c r="AT119" s="54">
        <f>SUM('AC-SVC'!O119)</f>
        <v>0</v>
      </c>
      <c r="AU119" s="54">
        <f>SUM('AC-SVC'!P119)*AU$7</f>
        <v>0</v>
      </c>
      <c r="AV119" s="54">
        <f>SUM(PT!E119)</f>
        <v>0</v>
      </c>
      <c r="AW119" s="54">
        <f>SUM(FC!F119)</f>
        <v>0</v>
      </c>
      <c r="AX119" s="54">
        <v>0</v>
      </c>
      <c r="AY119" s="54">
        <f>SUM(FS!F119)</f>
        <v>0</v>
      </c>
      <c r="AZ119" s="54">
        <f>SUM(IT!F119)</f>
        <v>0</v>
      </c>
      <c r="BA119" s="80"/>
      <c r="BB119" s="60">
        <f t="shared" si="117"/>
        <v>0</v>
      </c>
      <c r="BD119" s="101">
        <v>3408.36</v>
      </c>
      <c r="BE119" s="288">
        <f>SUM(Sheet1!K119)</f>
        <v>3544.0830188679242</v>
      </c>
    </row>
    <row r="120" spans="1:57" ht="12">
      <c r="A120" s="31" t="s">
        <v>413</v>
      </c>
      <c r="B120" s="31" t="s">
        <v>414</v>
      </c>
      <c r="C120" s="47">
        <f>275*7*177</f>
        <v>340725</v>
      </c>
      <c r="D120" s="47">
        <f t="shared" si="118"/>
        <v>0</v>
      </c>
      <c r="E120" s="64">
        <f t="shared" si="115"/>
        <v>0</v>
      </c>
      <c r="F120" s="64">
        <f t="shared" si="116"/>
        <v>0</v>
      </c>
      <c r="G120" s="47"/>
      <c r="H120" s="47"/>
      <c r="I120" s="71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67"/>
      <c r="AP120" s="54">
        <f>SUM('AC-SVC'!C120)*AP$7</f>
        <v>0</v>
      </c>
      <c r="AQ120" s="54">
        <f>SUM('AC-SVC'!D120)</f>
        <v>0</v>
      </c>
      <c r="AR120" s="54">
        <f>SUM('AC-SVC'!G120)</f>
        <v>0</v>
      </c>
      <c r="AS120" s="54">
        <f>SUM('AC-SVC'!J120)</f>
        <v>0</v>
      </c>
      <c r="AT120" s="54">
        <f>SUM('AC-SVC'!O120)</f>
        <v>0</v>
      </c>
      <c r="AU120" s="54">
        <f>SUM('AC-SVC'!P120)*AU$7</f>
        <v>0</v>
      </c>
      <c r="AV120" s="54">
        <f>SUM(PT!E120)</f>
        <v>0</v>
      </c>
      <c r="AW120" s="54">
        <f>SUM(FC!F120)</f>
        <v>0</v>
      </c>
      <c r="AX120" s="54">
        <v>0</v>
      </c>
      <c r="AY120" s="54">
        <f>SUM(FS!F120)</f>
        <v>0</v>
      </c>
      <c r="AZ120" s="54">
        <f>SUM(IT!F120)</f>
        <v>0</v>
      </c>
      <c r="BA120" s="80"/>
      <c r="BB120" s="60">
        <f t="shared" si="117"/>
        <v>340725</v>
      </c>
      <c r="BD120" s="101">
        <v>203188.13</v>
      </c>
      <c r="BE120" s="294">
        <f>SUM(Sheet1!K120)*4</f>
        <v>307607.56226415094</v>
      </c>
    </row>
    <row r="121" spans="1:57" ht="12">
      <c r="A121" s="31" t="s">
        <v>52</v>
      </c>
      <c r="B121" s="31" t="s">
        <v>53</v>
      </c>
      <c r="C121" s="48"/>
      <c r="D121" s="48">
        <f t="shared" si="114"/>
        <v>0</v>
      </c>
      <c r="E121" s="48">
        <f t="shared" si="115"/>
        <v>0</v>
      </c>
      <c r="F121" s="48">
        <f t="shared" si="116"/>
        <v>0</v>
      </c>
      <c r="G121" s="48"/>
      <c r="H121" s="48"/>
      <c r="I121" s="73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67"/>
      <c r="AP121" s="39">
        <f>SUM('AC-SVC'!C121)*AP$7</f>
        <v>0</v>
      </c>
      <c r="AQ121" s="39">
        <f>SUM('AC-SVC'!D121)</f>
        <v>0</v>
      </c>
      <c r="AR121" s="39">
        <f>SUM('AC-SVC'!G121)</f>
        <v>0</v>
      </c>
      <c r="AS121" s="39">
        <f>SUM('AC-SVC'!J121)</f>
        <v>0</v>
      </c>
      <c r="AT121" s="39">
        <f>SUM('AC-SVC'!O121)</f>
        <v>0</v>
      </c>
      <c r="AU121" s="39">
        <f>SUM('AC-SVC'!P121)*AU$7</f>
        <v>0</v>
      </c>
      <c r="AV121" s="39">
        <f>SUM(PT!E121)</f>
        <v>5500</v>
      </c>
      <c r="AW121" s="39">
        <f>SUM(FC!F121)</f>
        <v>0</v>
      </c>
      <c r="AX121" s="39">
        <v>0</v>
      </c>
      <c r="AY121" s="39">
        <f>SUM(FS!F121)</f>
        <v>0</v>
      </c>
      <c r="AZ121" s="39">
        <f>SUM(IT!F121)</f>
        <v>0</v>
      </c>
      <c r="BA121" s="73"/>
      <c r="BB121" s="59">
        <f t="shared" si="117"/>
        <v>5500</v>
      </c>
      <c r="BD121" s="102">
        <v>9655.7900000000009</v>
      </c>
      <c r="BE121" s="288">
        <f>SUM(Sheet1!K121)</f>
        <v>10597.124528301887</v>
      </c>
    </row>
    <row r="122" spans="1:57" ht="10">
      <c r="B122" s="31" t="s">
        <v>241</v>
      </c>
      <c r="C122" s="47">
        <f>SUM(C108:C121)</f>
        <v>385725</v>
      </c>
      <c r="D122" s="47">
        <f t="shared" ref="D122:H122" si="120">SUM(D108:D121)</f>
        <v>2200</v>
      </c>
      <c r="E122" s="47">
        <f t="shared" si="120"/>
        <v>61100</v>
      </c>
      <c r="F122" s="47">
        <f t="shared" si="120"/>
        <v>2625</v>
      </c>
      <c r="G122" s="47">
        <f t="shared" si="120"/>
        <v>0</v>
      </c>
      <c r="H122" s="47">
        <f t="shared" si="120"/>
        <v>0</v>
      </c>
      <c r="I122" s="71"/>
      <c r="J122" s="47">
        <f t="shared" ref="J122:AN122" si="121">SUM(J108:J121)</f>
        <v>550</v>
      </c>
      <c r="K122" s="47">
        <f t="shared" si="121"/>
        <v>550</v>
      </c>
      <c r="L122" s="47">
        <f t="shared" si="121"/>
        <v>550</v>
      </c>
      <c r="M122" s="47">
        <f t="shared" si="121"/>
        <v>550</v>
      </c>
      <c r="N122" s="47"/>
      <c r="O122" s="47">
        <f t="shared" si="121"/>
        <v>550</v>
      </c>
      <c r="P122" s="47">
        <f t="shared" ref="P122" si="122">SUM(P108:P121)</f>
        <v>550</v>
      </c>
      <c r="Q122" s="47">
        <f t="shared" si="121"/>
        <v>550</v>
      </c>
      <c r="R122" s="47">
        <f t="shared" si="121"/>
        <v>550</v>
      </c>
      <c r="S122" s="47">
        <f t="shared" si="121"/>
        <v>550</v>
      </c>
      <c r="T122" s="47">
        <f t="shared" ref="T122:U122" si="123">SUM(T108:T121)</f>
        <v>500</v>
      </c>
      <c r="U122" s="47">
        <f t="shared" si="123"/>
        <v>500</v>
      </c>
      <c r="V122" s="47">
        <f t="shared" si="121"/>
        <v>500</v>
      </c>
      <c r="W122" s="47">
        <f t="shared" si="121"/>
        <v>550</v>
      </c>
      <c r="X122" s="47">
        <f t="shared" si="121"/>
        <v>550</v>
      </c>
      <c r="Y122" s="47">
        <f t="shared" si="121"/>
        <v>0</v>
      </c>
      <c r="Z122" s="47">
        <f t="shared" si="121"/>
        <v>220</v>
      </c>
      <c r="AA122" s="47">
        <f t="shared" si="121"/>
        <v>550</v>
      </c>
      <c r="AB122" s="47">
        <f t="shared" si="121"/>
        <v>165</v>
      </c>
      <c r="AC122" s="47">
        <f t="shared" si="121"/>
        <v>450</v>
      </c>
      <c r="AD122" s="47">
        <f t="shared" si="121"/>
        <v>165</v>
      </c>
      <c r="AE122" s="47">
        <f t="shared" si="121"/>
        <v>550</v>
      </c>
      <c r="AF122" s="47">
        <f t="shared" si="121"/>
        <v>52600</v>
      </c>
      <c r="AG122" s="47">
        <f t="shared" si="121"/>
        <v>550</v>
      </c>
      <c r="AH122" s="47">
        <f t="shared" si="121"/>
        <v>0</v>
      </c>
      <c r="AI122" s="47">
        <f t="shared" si="121"/>
        <v>500</v>
      </c>
      <c r="AJ122" s="47">
        <f t="shared" si="121"/>
        <v>525</v>
      </c>
      <c r="AK122" s="47">
        <f t="shared" si="121"/>
        <v>525</v>
      </c>
      <c r="AL122" s="47">
        <f t="shared" si="121"/>
        <v>525</v>
      </c>
      <c r="AM122" s="47">
        <f t="shared" ref="AM122" si="124">SUM(AM108:AM121)</f>
        <v>525</v>
      </c>
      <c r="AN122" s="47">
        <f t="shared" si="121"/>
        <v>525</v>
      </c>
      <c r="AO122" s="67"/>
      <c r="AP122" s="38">
        <f t="shared" ref="AP122" si="125">+SUM(AP108:AP121)</f>
        <v>0</v>
      </c>
      <c r="AQ122" s="38">
        <f t="shared" ref="AQ122:AZ122" si="126">+SUM(AQ108:AQ121)</f>
        <v>0</v>
      </c>
      <c r="AR122" s="38">
        <f t="shared" si="126"/>
        <v>37800</v>
      </c>
      <c r="AS122" s="38">
        <f t="shared" si="126"/>
        <v>0</v>
      </c>
      <c r="AT122" s="38">
        <f t="shared" si="126"/>
        <v>2200</v>
      </c>
      <c r="AU122" s="38">
        <f t="shared" ref="AU122" si="127">+SUM(AU108:AU121)</f>
        <v>0</v>
      </c>
      <c r="AV122" s="38">
        <f t="shared" si="126"/>
        <v>5500</v>
      </c>
      <c r="AW122" s="38">
        <f t="shared" si="126"/>
        <v>15500</v>
      </c>
      <c r="AX122" s="38">
        <f t="shared" si="126"/>
        <v>0</v>
      </c>
      <c r="AY122" s="38">
        <f t="shared" si="126"/>
        <v>600</v>
      </c>
      <c r="AZ122" s="38">
        <f t="shared" si="126"/>
        <v>32100</v>
      </c>
      <c r="BA122" s="71"/>
      <c r="BB122" s="50">
        <f>SUM(BB108:BB121)</f>
        <v>545350</v>
      </c>
      <c r="BD122" s="100">
        <f>SUM(BD108:BD121)</f>
        <v>331336.96000000002</v>
      </c>
      <c r="BE122" s="293">
        <f>SUM(BE108:BE121)</f>
        <v>510309.15849056601</v>
      </c>
    </row>
    <row r="123" spans="1:57">
      <c r="C123" s="47"/>
      <c r="D123" s="47"/>
      <c r="E123" s="47"/>
      <c r="F123" s="47"/>
      <c r="G123" s="47"/>
      <c r="H123" s="47"/>
      <c r="I123" s="71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67"/>
      <c r="AP123" s="38"/>
      <c r="AQ123" s="47"/>
      <c r="AR123" s="38"/>
      <c r="AS123" s="38"/>
      <c r="AT123" s="38"/>
      <c r="AU123" s="38"/>
      <c r="AV123" s="38"/>
      <c r="AW123" s="38"/>
      <c r="AX123" s="38"/>
      <c r="AY123" s="38"/>
      <c r="AZ123" s="38"/>
      <c r="BA123" s="71"/>
      <c r="BB123" s="50"/>
      <c r="BD123" s="100"/>
      <c r="BE123" s="290"/>
    </row>
    <row r="124" spans="1:57">
      <c r="A124" s="31" t="s">
        <v>242</v>
      </c>
      <c r="C124" s="47"/>
      <c r="D124" s="47"/>
      <c r="E124" s="47"/>
      <c r="F124" s="47"/>
      <c r="G124" s="47"/>
      <c r="H124" s="47"/>
      <c r="I124" s="71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67"/>
      <c r="AP124" s="38"/>
      <c r="AQ124" s="47"/>
      <c r="AR124" s="38"/>
      <c r="AS124" s="38"/>
      <c r="AT124" s="38"/>
      <c r="AU124" s="38"/>
      <c r="AV124" s="38"/>
      <c r="AW124" s="38"/>
      <c r="AX124" s="38"/>
      <c r="AY124" s="38"/>
      <c r="AZ124" s="38"/>
      <c r="BA124" s="71"/>
      <c r="BB124" s="50"/>
      <c r="BD124" s="100"/>
      <c r="BE124" s="290"/>
    </row>
    <row r="125" spans="1:57" ht="12">
      <c r="A125" s="31" t="s">
        <v>56</v>
      </c>
      <c r="B125" s="31" t="s">
        <v>245</v>
      </c>
      <c r="C125" s="47"/>
      <c r="D125" s="47">
        <f t="shared" ref="D125:D132" si="128">SUM(J125:M125)</f>
        <v>0</v>
      </c>
      <c r="E125" s="64">
        <f t="shared" ref="E125:E132" si="129">SUM(O125:AI125)</f>
        <v>0</v>
      </c>
      <c r="F125" s="64">
        <f t="shared" ref="F125:F132" si="130">SUM(AJ125:AN125)</f>
        <v>0</v>
      </c>
      <c r="G125" s="47"/>
      <c r="H125" s="47"/>
      <c r="I125" s="71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67"/>
      <c r="AP125" s="54">
        <f>SUM('AC-SVC'!C125)*AP$7</f>
        <v>0</v>
      </c>
      <c r="AQ125" s="54">
        <f>SUM('AC-SVC'!D125)</f>
        <v>0</v>
      </c>
      <c r="AR125" s="54">
        <f>SUM('AC-SVC'!G125)</f>
        <v>0</v>
      </c>
      <c r="AS125" s="54">
        <f>SUM('AC-SVC'!J125)</f>
        <v>0</v>
      </c>
      <c r="AT125" s="54">
        <f>SUM('AC-SVC'!O125)</f>
        <v>0</v>
      </c>
      <c r="AU125" s="54">
        <f>SUM('AC-SVC'!P125)*AU$7</f>
        <v>0</v>
      </c>
      <c r="AV125" s="54">
        <f>SUM(PT!E125)</f>
        <v>0</v>
      </c>
      <c r="AW125" s="54">
        <f>SUM(FC!F125)</f>
        <v>5000</v>
      </c>
      <c r="AX125" s="54">
        <v>0</v>
      </c>
      <c r="AY125" s="54">
        <f>SUM(FS!F125)</f>
        <v>0</v>
      </c>
      <c r="AZ125" s="54">
        <f>SUM(IT!F125)</f>
        <v>0</v>
      </c>
      <c r="BA125" s="80"/>
      <c r="BB125" s="60">
        <f t="shared" ref="BB125:BB132" si="131">SUM(C125:H125)+SUM(AP125:AZ125)</f>
        <v>5000</v>
      </c>
      <c r="BD125" s="101"/>
      <c r="BE125" s="288">
        <f>SUM(Sheet1!K125)</f>
        <v>2402.5547169811321</v>
      </c>
    </row>
    <row r="126" spans="1:57" ht="12">
      <c r="A126" s="31" t="s">
        <v>57</v>
      </c>
      <c r="B126" s="31" t="s">
        <v>246</v>
      </c>
      <c r="C126" s="47"/>
      <c r="D126" s="47">
        <f t="shared" si="128"/>
        <v>0</v>
      </c>
      <c r="E126" s="64">
        <f t="shared" si="129"/>
        <v>0</v>
      </c>
      <c r="F126" s="64">
        <f t="shared" si="130"/>
        <v>0</v>
      </c>
      <c r="G126" s="47"/>
      <c r="H126" s="47"/>
      <c r="I126" s="71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67"/>
      <c r="AP126" s="54">
        <f>SUM('AC-SVC'!C126)*AP$7</f>
        <v>0</v>
      </c>
      <c r="AQ126" s="54">
        <f>SUM('AC-SVC'!D126)</f>
        <v>0</v>
      </c>
      <c r="AR126" s="54">
        <f>SUM('AC-SVC'!G126)</f>
        <v>0</v>
      </c>
      <c r="AS126" s="54">
        <f>SUM('AC-SVC'!J126)</f>
        <v>0</v>
      </c>
      <c r="AT126" s="54">
        <f>SUM('AC-SVC'!O126)</f>
        <v>0</v>
      </c>
      <c r="AU126" s="54">
        <f>SUM('AC-SVC'!P126)*AU$7</f>
        <v>0</v>
      </c>
      <c r="AV126" s="54">
        <f>SUM(PT!E126)</f>
        <v>0</v>
      </c>
      <c r="AW126" s="54">
        <f>SUM(FC!F126)</f>
        <v>4800</v>
      </c>
      <c r="AX126" s="54">
        <v>0</v>
      </c>
      <c r="AY126" s="54">
        <f>SUM(FS!F126)</f>
        <v>0</v>
      </c>
      <c r="AZ126" s="54">
        <f>SUM(IT!F126)</f>
        <v>0</v>
      </c>
      <c r="BA126" s="80"/>
      <c r="BB126" s="60">
        <f t="shared" si="131"/>
        <v>4800</v>
      </c>
      <c r="BD126" s="101">
        <v>4198.59</v>
      </c>
      <c r="BE126" s="288">
        <f>SUM(Sheet1!K126)</f>
        <v>5483.6943396226416</v>
      </c>
    </row>
    <row r="127" spans="1:57" ht="12">
      <c r="A127" s="31" t="s">
        <v>58</v>
      </c>
      <c r="B127" s="31" t="s">
        <v>247</v>
      </c>
      <c r="C127" s="47">
        <v>500</v>
      </c>
      <c r="D127" s="47">
        <f t="shared" si="128"/>
        <v>0</v>
      </c>
      <c r="E127" s="64">
        <f t="shared" si="129"/>
        <v>0</v>
      </c>
      <c r="F127" s="64">
        <f t="shared" si="130"/>
        <v>0</v>
      </c>
      <c r="G127" s="47"/>
      <c r="H127" s="47"/>
      <c r="I127" s="71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67"/>
      <c r="AP127" s="54">
        <f>SUM('AC-SVC'!C127)*AP$7</f>
        <v>0</v>
      </c>
      <c r="AQ127" s="54">
        <f>SUM('AC-SVC'!D127)</f>
        <v>0</v>
      </c>
      <c r="AR127" s="54">
        <f>SUM('AC-SVC'!G127)</f>
        <v>0</v>
      </c>
      <c r="AS127" s="54">
        <f>SUM('AC-SVC'!J127)</f>
        <v>0</v>
      </c>
      <c r="AT127" s="54">
        <f>SUM('AC-SVC'!O127)</f>
        <v>0</v>
      </c>
      <c r="AU127" s="54">
        <f>SUM('AC-SVC'!P127)*AU$7</f>
        <v>0</v>
      </c>
      <c r="AV127" s="54">
        <f>SUM(PT!E127)</f>
        <v>0</v>
      </c>
      <c r="AW127" s="54">
        <f>SUM(FC!F127)</f>
        <v>300</v>
      </c>
      <c r="AX127" s="54">
        <v>0</v>
      </c>
      <c r="AY127" s="54">
        <f>SUM(FS!F127)</f>
        <v>100</v>
      </c>
      <c r="AZ127" s="54">
        <f>SUM(IT!F127)</f>
        <v>0</v>
      </c>
      <c r="BA127" s="80"/>
      <c r="BB127" s="60">
        <f t="shared" si="131"/>
        <v>900</v>
      </c>
      <c r="BD127" s="101">
        <v>303</v>
      </c>
      <c r="BE127" s="288">
        <f>SUM(Sheet1!K127)</f>
        <v>1035.2792452830188</v>
      </c>
    </row>
    <row r="128" spans="1:57" ht="12">
      <c r="A128" s="31" t="s">
        <v>55</v>
      </c>
      <c r="B128" s="31" t="s">
        <v>244</v>
      </c>
      <c r="C128" s="47"/>
      <c r="D128" s="47">
        <f t="shared" si="128"/>
        <v>0</v>
      </c>
      <c r="E128" s="64">
        <f t="shared" si="129"/>
        <v>0</v>
      </c>
      <c r="F128" s="64">
        <f t="shared" si="130"/>
        <v>0</v>
      </c>
      <c r="G128" s="47"/>
      <c r="H128" s="47"/>
      <c r="I128" s="71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67"/>
      <c r="AP128" s="54">
        <f>SUM('AC-SVC'!C128)*AP$7</f>
        <v>0</v>
      </c>
      <c r="AQ128" s="54">
        <f>SUM('AC-SVC'!D128)</f>
        <v>0</v>
      </c>
      <c r="AR128" s="54">
        <f>SUM('AC-SVC'!G128)</f>
        <v>0</v>
      </c>
      <c r="AS128" s="54">
        <f>SUM('AC-SVC'!J128)</f>
        <v>0</v>
      </c>
      <c r="AT128" s="54">
        <f>SUM('AC-SVC'!O128)</f>
        <v>0</v>
      </c>
      <c r="AU128" s="54">
        <f>SUM('AC-SVC'!P128)*AU$7</f>
        <v>0</v>
      </c>
      <c r="AV128" s="54">
        <f>SUM(PT!E128)</f>
        <v>0</v>
      </c>
      <c r="AW128" s="54">
        <f>SUM(FC!F128)</f>
        <v>7250</v>
      </c>
      <c r="AX128" s="54">
        <v>0</v>
      </c>
      <c r="AY128" s="54">
        <f>SUM(FS!F128)</f>
        <v>0</v>
      </c>
      <c r="AZ128" s="54">
        <f>SUM(IT!F128)</f>
        <v>0</v>
      </c>
      <c r="BA128" s="80"/>
      <c r="BB128" s="60">
        <f t="shared" si="131"/>
        <v>7250</v>
      </c>
      <c r="BD128" s="101"/>
      <c r="BE128" s="288">
        <f>+BB128</f>
        <v>7250</v>
      </c>
    </row>
    <row r="129" spans="1:57" ht="10.5" customHeight="1">
      <c r="A129" s="31" t="s">
        <v>54</v>
      </c>
      <c r="B129" s="31" t="s">
        <v>243</v>
      </c>
      <c r="C129" s="47"/>
      <c r="D129" s="47">
        <f t="shared" si="128"/>
        <v>0</v>
      </c>
      <c r="E129" s="64">
        <f t="shared" si="129"/>
        <v>0</v>
      </c>
      <c r="F129" s="64">
        <f t="shared" si="130"/>
        <v>0</v>
      </c>
      <c r="G129" s="47"/>
      <c r="H129" s="47"/>
      <c r="I129" s="71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67"/>
      <c r="AP129" s="54">
        <f>SUM('AC-SVC'!C129)*AP$7</f>
        <v>0</v>
      </c>
      <c r="AQ129" s="54">
        <f>SUM('AC-SVC'!D129)</f>
        <v>0</v>
      </c>
      <c r="AR129" s="54">
        <f>SUM('AC-SVC'!G129)</f>
        <v>0</v>
      </c>
      <c r="AS129" s="54">
        <f>SUM('AC-SVC'!J129)</f>
        <v>0</v>
      </c>
      <c r="AT129" s="54">
        <f>SUM('AC-SVC'!O129)</f>
        <v>0</v>
      </c>
      <c r="AU129" s="54">
        <f>SUM('AC-SVC'!P129)*AU$7</f>
        <v>0</v>
      </c>
      <c r="AV129" s="54">
        <f>SUM(PT!E129)</f>
        <v>0</v>
      </c>
      <c r="AW129" s="54">
        <f>SUM(FC!F129)</f>
        <v>50000</v>
      </c>
      <c r="AX129" s="54">
        <v>0</v>
      </c>
      <c r="AY129" s="54">
        <f>SUM(FS!F129)</f>
        <v>0</v>
      </c>
      <c r="AZ129" s="54">
        <f>SUM(IT!F129)</f>
        <v>0</v>
      </c>
      <c r="BA129" s="80"/>
      <c r="BB129" s="60">
        <f t="shared" si="131"/>
        <v>50000</v>
      </c>
      <c r="BD129" s="101"/>
      <c r="BE129" s="288">
        <f>+BB129</f>
        <v>50000</v>
      </c>
    </row>
    <row r="130" spans="1:57" ht="12">
      <c r="A130" s="31" t="s">
        <v>60</v>
      </c>
      <c r="B130" s="31" t="s">
        <v>61</v>
      </c>
      <c r="C130" s="47">
        <v>20000</v>
      </c>
      <c r="D130" s="47">
        <f t="shared" si="128"/>
        <v>0</v>
      </c>
      <c r="E130" s="64">
        <f t="shared" si="129"/>
        <v>0</v>
      </c>
      <c r="F130" s="64">
        <f t="shared" si="130"/>
        <v>0</v>
      </c>
      <c r="G130" s="47"/>
      <c r="H130" s="47"/>
      <c r="I130" s="71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67"/>
      <c r="AP130" s="54">
        <f>SUM('AC-SVC'!C130)*AP$7</f>
        <v>0</v>
      </c>
      <c r="AQ130" s="54">
        <f>SUM('AC-SVC'!D130)</f>
        <v>0</v>
      </c>
      <c r="AR130" s="54">
        <f>SUM('AC-SVC'!G130)</f>
        <v>0</v>
      </c>
      <c r="AS130" s="54">
        <f>SUM('AC-SVC'!J130)</f>
        <v>0</v>
      </c>
      <c r="AT130" s="54">
        <f>SUM('AC-SVC'!O130)</f>
        <v>0</v>
      </c>
      <c r="AU130" s="54">
        <f>SUM('AC-SVC'!P130)*AU$7</f>
        <v>0</v>
      </c>
      <c r="AV130" s="54">
        <f>SUM(PT!E130)</f>
        <v>0</v>
      </c>
      <c r="AW130" s="54">
        <f>SUM(FC!F130)</f>
        <v>15000</v>
      </c>
      <c r="AX130" s="54">
        <v>0</v>
      </c>
      <c r="AY130" s="54">
        <f>SUM(FS!F130)</f>
        <v>6500</v>
      </c>
      <c r="AZ130" s="54">
        <f>SUM(IT!F130)</f>
        <v>0</v>
      </c>
      <c r="BA130" s="80"/>
      <c r="BB130" s="60">
        <f t="shared" si="131"/>
        <v>41500</v>
      </c>
      <c r="BD130" s="101">
        <v>9687.6200000000008</v>
      </c>
      <c r="BE130" s="288">
        <f>+BB130</f>
        <v>41500</v>
      </c>
    </row>
    <row r="131" spans="1:57" ht="12">
      <c r="A131" s="31" t="s">
        <v>411</v>
      </c>
      <c r="B131" s="31" t="s">
        <v>412</v>
      </c>
      <c r="C131" s="47"/>
      <c r="D131" s="47">
        <f t="shared" ref="D131" si="132">SUM(J131:M131)</f>
        <v>0</v>
      </c>
      <c r="E131" s="64">
        <f t="shared" si="129"/>
        <v>0</v>
      </c>
      <c r="F131" s="64">
        <f t="shared" si="130"/>
        <v>0</v>
      </c>
      <c r="G131" s="47"/>
      <c r="H131" s="47"/>
      <c r="I131" s="71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67"/>
      <c r="AP131" s="54">
        <f>SUM('AC-SVC'!C131)*AP$7</f>
        <v>0</v>
      </c>
      <c r="AQ131" s="54">
        <f>SUM('AC-SVC'!D131)</f>
        <v>0</v>
      </c>
      <c r="AR131" s="54">
        <f>SUM('AC-SVC'!G131)</f>
        <v>0</v>
      </c>
      <c r="AS131" s="54">
        <f>SUM('AC-SVC'!J131)</f>
        <v>0</v>
      </c>
      <c r="AT131" s="54">
        <f>SUM('AC-SVC'!O131)</f>
        <v>0</v>
      </c>
      <c r="AU131" s="54">
        <f>SUM('AC-SVC'!P131)*AU$7</f>
        <v>0</v>
      </c>
      <c r="AV131" s="54">
        <f>SUM(PT!E131)</f>
        <v>0</v>
      </c>
      <c r="AW131" s="54">
        <f>SUM(FC!F131)</f>
        <v>244000</v>
      </c>
      <c r="AX131" s="54">
        <v>0</v>
      </c>
      <c r="AY131" s="54">
        <f>SUM(FS!F131)</f>
        <v>0</v>
      </c>
      <c r="AZ131" s="54">
        <f>SUM(IT!F131)</f>
        <v>0</v>
      </c>
      <c r="BA131" s="80"/>
      <c r="BB131" s="60">
        <f t="shared" si="131"/>
        <v>244000</v>
      </c>
      <c r="BD131" s="101">
        <v>205799.76</v>
      </c>
      <c r="BE131" s="288">
        <f>+BB131</f>
        <v>244000</v>
      </c>
    </row>
    <row r="132" spans="1:57" ht="12">
      <c r="A132" s="31" t="s">
        <v>62</v>
      </c>
      <c r="B132" s="31" t="s">
        <v>248</v>
      </c>
      <c r="C132" s="48">
        <f>1300*12+70*4+500*12</f>
        <v>21880</v>
      </c>
      <c r="D132" s="48">
        <f t="shared" si="128"/>
        <v>0</v>
      </c>
      <c r="E132" s="48">
        <f t="shared" si="129"/>
        <v>0</v>
      </c>
      <c r="F132" s="48">
        <f t="shared" si="130"/>
        <v>0</v>
      </c>
      <c r="G132" s="48"/>
      <c r="H132" s="48"/>
      <c r="I132" s="73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67"/>
      <c r="AP132" s="39">
        <f>SUM('AC-SVC'!C132)*AP$7</f>
        <v>0</v>
      </c>
      <c r="AQ132" s="39">
        <f>SUM('AC-SVC'!D132)</f>
        <v>0</v>
      </c>
      <c r="AR132" s="39">
        <f>SUM('AC-SVC'!G132)</f>
        <v>0</v>
      </c>
      <c r="AS132" s="39">
        <f>SUM('AC-SVC'!J132)</f>
        <v>0</v>
      </c>
      <c r="AT132" s="39">
        <f>SUM('AC-SVC'!O132)</f>
        <v>0</v>
      </c>
      <c r="AU132" s="39">
        <f>SUM('AC-SVC'!P132)*AU$7</f>
        <v>0</v>
      </c>
      <c r="AV132" s="39">
        <f>SUM(PT!E132)</f>
        <v>0</v>
      </c>
      <c r="AW132" s="39">
        <f>SUM(FC!F132)</f>
        <v>2000</v>
      </c>
      <c r="AX132" s="39">
        <v>0</v>
      </c>
      <c r="AY132" s="39">
        <f>SUM(FS!F132)</f>
        <v>0</v>
      </c>
      <c r="AZ132" s="39">
        <f>SUM(IT!F132)</f>
        <v>0</v>
      </c>
      <c r="BA132" s="73"/>
      <c r="BB132" s="59">
        <f t="shared" si="131"/>
        <v>23880</v>
      </c>
      <c r="BD132" s="102">
        <v>12723.53</v>
      </c>
      <c r="BE132" s="288">
        <f>SUM(Sheet1!K132)</f>
        <v>9570.1698113207549</v>
      </c>
    </row>
    <row r="133" spans="1:57" ht="10">
      <c r="B133" s="31" t="s">
        <v>249</v>
      </c>
      <c r="C133" s="47">
        <f>SUM(C125:C132)</f>
        <v>42380</v>
      </c>
      <c r="D133" s="47">
        <f t="shared" ref="D133:H133" si="133">SUM(D125:D132)</f>
        <v>0</v>
      </c>
      <c r="E133" s="47">
        <f t="shared" si="133"/>
        <v>0</v>
      </c>
      <c r="F133" s="47">
        <f t="shared" si="133"/>
        <v>0</v>
      </c>
      <c r="G133" s="47">
        <f t="shared" si="133"/>
        <v>0</v>
      </c>
      <c r="H133" s="47">
        <f t="shared" si="133"/>
        <v>0</v>
      </c>
      <c r="I133" s="71"/>
      <c r="J133" s="47">
        <f t="shared" ref="J133:AN133" si="134">SUM(J125:J132)</f>
        <v>0</v>
      </c>
      <c r="K133" s="47">
        <f t="shared" si="134"/>
        <v>0</v>
      </c>
      <c r="L133" s="47">
        <f t="shared" si="134"/>
        <v>0</v>
      </c>
      <c r="M133" s="47">
        <f t="shared" si="134"/>
        <v>0</v>
      </c>
      <c r="N133" s="47"/>
      <c r="O133" s="47">
        <f t="shared" si="134"/>
        <v>0</v>
      </c>
      <c r="P133" s="47">
        <f t="shared" ref="P133" si="135">SUM(P125:P132)</f>
        <v>0</v>
      </c>
      <c r="Q133" s="47">
        <f t="shared" si="134"/>
        <v>0</v>
      </c>
      <c r="R133" s="47">
        <f t="shared" si="134"/>
        <v>0</v>
      </c>
      <c r="S133" s="47">
        <f t="shared" si="134"/>
        <v>0</v>
      </c>
      <c r="T133" s="47">
        <f t="shared" ref="T133:U133" si="136">SUM(T125:T132)</f>
        <v>0</v>
      </c>
      <c r="U133" s="47">
        <f t="shared" si="136"/>
        <v>0</v>
      </c>
      <c r="V133" s="47">
        <f t="shared" si="134"/>
        <v>0</v>
      </c>
      <c r="W133" s="47">
        <f t="shared" si="134"/>
        <v>0</v>
      </c>
      <c r="X133" s="47">
        <f t="shared" si="134"/>
        <v>0</v>
      </c>
      <c r="Y133" s="47">
        <f t="shared" si="134"/>
        <v>0</v>
      </c>
      <c r="Z133" s="47">
        <f t="shared" si="134"/>
        <v>0</v>
      </c>
      <c r="AA133" s="47">
        <f t="shared" si="134"/>
        <v>0</v>
      </c>
      <c r="AB133" s="47">
        <f t="shared" si="134"/>
        <v>0</v>
      </c>
      <c r="AC133" s="47">
        <f t="shared" si="134"/>
        <v>0</v>
      </c>
      <c r="AD133" s="47">
        <f t="shared" si="134"/>
        <v>0</v>
      </c>
      <c r="AE133" s="47">
        <f t="shared" si="134"/>
        <v>0</v>
      </c>
      <c r="AF133" s="47">
        <f t="shared" si="134"/>
        <v>0</v>
      </c>
      <c r="AG133" s="47">
        <f t="shared" si="134"/>
        <v>0</v>
      </c>
      <c r="AH133" s="47">
        <f t="shared" si="134"/>
        <v>0</v>
      </c>
      <c r="AI133" s="47">
        <f t="shared" si="134"/>
        <v>0</v>
      </c>
      <c r="AJ133" s="47">
        <f t="shared" si="134"/>
        <v>0</v>
      </c>
      <c r="AK133" s="47">
        <f t="shared" si="134"/>
        <v>0</v>
      </c>
      <c r="AL133" s="47">
        <f t="shared" si="134"/>
        <v>0</v>
      </c>
      <c r="AM133" s="47">
        <f t="shared" ref="AM133" si="137">SUM(AM125:AM132)</f>
        <v>0</v>
      </c>
      <c r="AN133" s="47">
        <f t="shared" si="134"/>
        <v>0</v>
      </c>
      <c r="AO133" s="67"/>
      <c r="AP133" s="38">
        <f>SUM(AP125:AP132)</f>
        <v>0</v>
      </c>
      <c r="AQ133" s="38">
        <f t="shared" ref="AQ133:AZ133" si="138">SUM(AQ125:AQ132)</f>
        <v>0</v>
      </c>
      <c r="AR133" s="38">
        <f t="shared" si="138"/>
        <v>0</v>
      </c>
      <c r="AS133" s="38">
        <f t="shared" si="138"/>
        <v>0</v>
      </c>
      <c r="AT133" s="38">
        <f t="shared" si="138"/>
        <v>0</v>
      </c>
      <c r="AU133" s="38">
        <f t="shared" ref="AU133" si="139">SUM(AU125:AU132)</f>
        <v>0</v>
      </c>
      <c r="AV133" s="38">
        <f t="shared" si="138"/>
        <v>0</v>
      </c>
      <c r="AW133" s="38">
        <f t="shared" si="138"/>
        <v>328350</v>
      </c>
      <c r="AX133" s="38">
        <f t="shared" si="138"/>
        <v>0</v>
      </c>
      <c r="AY133" s="38">
        <f t="shared" si="138"/>
        <v>6600</v>
      </c>
      <c r="AZ133" s="38">
        <f t="shared" si="138"/>
        <v>0</v>
      </c>
      <c r="BA133" s="71"/>
      <c r="BB133" s="50">
        <f>SUM(BB125:BB132)</f>
        <v>377330</v>
      </c>
      <c r="BD133" s="100">
        <f>SUM(BD125:BD132)</f>
        <v>232712.5</v>
      </c>
      <c r="BE133" s="293">
        <f>SUM(BE125:BE132)</f>
        <v>361241.69811320759</v>
      </c>
    </row>
    <row r="134" spans="1:57">
      <c r="C134" s="47"/>
      <c r="D134" s="47"/>
      <c r="E134" s="47"/>
      <c r="F134" s="47"/>
      <c r="G134" s="47"/>
      <c r="H134" s="47"/>
      <c r="I134" s="71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67"/>
      <c r="AP134" s="38"/>
      <c r="AQ134" s="47"/>
      <c r="AR134" s="38"/>
      <c r="AS134" s="38"/>
      <c r="AT134" s="38"/>
      <c r="AU134" s="38"/>
      <c r="AV134" s="38"/>
      <c r="AW134" s="38"/>
      <c r="AX134" s="38"/>
      <c r="AY134" s="38"/>
      <c r="AZ134" s="38"/>
      <c r="BA134" s="71"/>
      <c r="BB134" s="50"/>
      <c r="BD134" s="100"/>
      <c r="BE134" s="290"/>
    </row>
    <row r="135" spans="1:57">
      <c r="A135" s="31" t="s">
        <v>250</v>
      </c>
      <c r="C135" s="47"/>
      <c r="D135" s="47"/>
      <c r="E135" s="47"/>
      <c r="F135" s="47"/>
      <c r="G135" s="47"/>
      <c r="H135" s="47"/>
      <c r="I135" s="71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67"/>
      <c r="AP135" s="38"/>
      <c r="AQ135" s="47"/>
      <c r="AR135" s="38"/>
      <c r="AS135" s="38"/>
      <c r="AT135" s="38"/>
      <c r="AU135" s="38"/>
      <c r="AV135" s="38"/>
      <c r="AW135" s="38"/>
      <c r="AX135" s="38"/>
      <c r="AY135" s="38"/>
      <c r="AZ135" s="38"/>
      <c r="BA135" s="71"/>
      <c r="BB135" s="50"/>
      <c r="BD135" s="100"/>
      <c r="BE135" s="290"/>
    </row>
    <row r="136" spans="1:57">
      <c r="A136" s="31" t="s">
        <v>251</v>
      </c>
      <c r="C136" s="47"/>
      <c r="D136" s="47"/>
      <c r="E136" s="47"/>
      <c r="F136" s="47"/>
      <c r="G136" s="47"/>
      <c r="H136" s="47"/>
      <c r="I136" s="71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67"/>
      <c r="AP136" s="38"/>
      <c r="AQ136" s="47"/>
      <c r="AR136" s="38"/>
      <c r="AS136" s="38"/>
      <c r="AT136" s="38"/>
      <c r="AU136" s="38"/>
      <c r="AV136" s="38"/>
      <c r="AW136" s="38"/>
      <c r="AX136" s="38"/>
      <c r="AY136" s="38"/>
      <c r="AZ136" s="38"/>
      <c r="BA136" s="71"/>
      <c r="BB136" s="50"/>
      <c r="BD136" s="100"/>
      <c r="BE136" s="290"/>
    </row>
    <row r="137" spans="1:57" ht="12">
      <c r="A137" s="31" t="s">
        <v>63</v>
      </c>
      <c r="B137" s="31" t="s">
        <v>252</v>
      </c>
      <c r="C137" s="47"/>
      <c r="D137" s="47">
        <f>SUM(J137:M137)</f>
        <v>0</v>
      </c>
      <c r="E137" s="64">
        <f>SUM(O137:AI137)</f>
        <v>0</v>
      </c>
      <c r="F137" s="64">
        <f t="shared" ref="F137:F140" si="140">SUM(AJ137:AN137)</f>
        <v>0</v>
      </c>
      <c r="G137" s="47"/>
      <c r="H137" s="47"/>
      <c r="I137" s="71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67"/>
      <c r="AP137" s="54">
        <f>SUM('AC-SVC'!C137)*AP$7</f>
        <v>0</v>
      </c>
      <c r="AQ137" s="54">
        <f>SUM('AC-SVC'!D137)</f>
        <v>0</v>
      </c>
      <c r="AR137" s="54">
        <f>SUM('AC-SVC'!G137)</f>
        <v>0</v>
      </c>
      <c r="AS137" s="54">
        <f>SUM('AC-SVC'!J137)</f>
        <v>0</v>
      </c>
      <c r="AT137" s="54">
        <f>SUM('AC-SVC'!O137)</f>
        <v>0</v>
      </c>
      <c r="AU137" s="54">
        <f>SUM('AC-SVC'!P137)*AU$7</f>
        <v>0</v>
      </c>
      <c r="AV137" s="54">
        <f>SUM(PT!E137)</f>
        <v>0</v>
      </c>
      <c r="AW137" s="54">
        <f>SUM(FC!F137)</f>
        <v>42800</v>
      </c>
      <c r="AX137" s="54">
        <v>0</v>
      </c>
      <c r="AY137" s="54">
        <f>SUM(FS!F137)</f>
        <v>0</v>
      </c>
      <c r="AZ137" s="54">
        <f>SUM(IT!F137)</f>
        <v>0</v>
      </c>
      <c r="BA137" s="80"/>
      <c r="BB137" s="60">
        <f>SUM(C137:H137)+SUM(AP137:AZ137)</f>
        <v>42800</v>
      </c>
      <c r="BD137" s="101">
        <v>4806.6899999999996</v>
      </c>
      <c r="BE137" s="288">
        <f>SUM(Sheet1!K137)</f>
        <v>6933.441509433962</v>
      </c>
    </row>
    <row r="138" spans="1:57" ht="12">
      <c r="A138" s="31" t="s">
        <v>64</v>
      </c>
      <c r="B138" s="31" t="s">
        <v>253</v>
      </c>
      <c r="C138" s="47"/>
      <c r="D138" s="47">
        <f>SUM(J138:M138)</f>
        <v>0</v>
      </c>
      <c r="E138" s="64">
        <f>SUM(O138:AI138)</f>
        <v>0</v>
      </c>
      <c r="F138" s="64">
        <f t="shared" si="140"/>
        <v>0</v>
      </c>
      <c r="G138" s="47"/>
      <c r="H138" s="47"/>
      <c r="I138" s="71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67"/>
      <c r="AP138" s="54">
        <f>SUM('AC-SVC'!C138)*AP$7</f>
        <v>0</v>
      </c>
      <c r="AQ138" s="54">
        <f>SUM('AC-SVC'!D138)</f>
        <v>0</v>
      </c>
      <c r="AR138" s="54">
        <f>SUM('AC-SVC'!G138)</f>
        <v>0</v>
      </c>
      <c r="AS138" s="54">
        <f>SUM('AC-SVC'!J138)</f>
        <v>0</v>
      </c>
      <c r="AT138" s="54">
        <f>SUM('AC-SVC'!O138)</f>
        <v>0</v>
      </c>
      <c r="AU138" s="54">
        <f>SUM('AC-SVC'!P138)*AU$7</f>
        <v>0</v>
      </c>
      <c r="AV138" s="54">
        <f>SUM(PT!E138)</f>
        <v>0</v>
      </c>
      <c r="AW138" s="54">
        <f>SUM(FC!F138)</f>
        <v>32991.65625</v>
      </c>
      <c r="AX138" s="54">
        <v>0</v>
      </c>
      <c r="AY138" s="54">
        <f>SUM(FS!F138)</f>
        <v>0</v>
      </c>
      <c r="AZ138" s="54">
        <f>SUM(IT!F138)</f>
        <v>0</v>
      </c>
      <c r="BA138" s="80"/>
      <c r="BB138" s="60">
        <f>SUM(C138:H138)+SUM(AP138:AZ138)</f>
        <v>32991.65625</v>
      </c>
      <c r="BD138" s="101">
        <v>55547.67</v>
      </c>
      <c r="BE138" s="288">
        <f>+BD138</f>
        <v>55547.67</v>
      </c>
    </row>
    <row r="139" spans="1:57" ht="12">
      <c r="A139" s="31" t="s">
        <v>417</v>
      </c>
      <c r="B139" s="31" t="s">
        <v>418</v>
      </c>
      <c r="C139" s="47"/>
      <c r="D139" s="47">
        <f>SUM(J139:M139)</f>
        <v>0</v>
      </c>
      <c r="E139" s="64">
        <f>SUM(O139:AI139)</f>
        <v>0</v>
      </c>
      <c r="F139" s="64">
        <f t="shared" si="140"/>
        <v>0</v>
      </c>
      <c r="G139" s="47"/>
      <c r="H139" s="47"/>
      <c r="I139" s="71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67"/>
      <c r="AP139" s="54">
        <f>SUM('AC-SVC'!C139)*AP$7</f>
        <v>0</v>
      </c>
      <c r="AQ139" s="54">
        <f>SUM('AC-SVC'!D139)</f>
        <v>0</v>
      </c>
      <c r="AR139" s="54">
        <f>SUM('AC-SVC'!G139)</f>
        <v>0</v>
      </c>
      <c r="AS139" s="54">
        <f>SUM('AC-SVC'!J139)</f>
        <v>0</v>
      </c>
      <c r="AT139" s="54">
        <f>SUM('AC-SVC'!O139)</f>
        <v>0</v>
      </c>
      <c r="AU139" s="54">
        <f>SUM('AC-SVC'!P139)*AU$7</f>
        <v>0</v>
      </c>
      <c r="AV139" s="54">
        <f>SUM(PT!E139)</f>
        <v>0</v>
      </c>
      <c r="AW139" s="54">
        <f>SUM(FC!F139)</f>
        <v>0</v>
      </c>
      <c r="AX139" s="54">
        <v>0</v>
      </c>
      <c r="AY139" s="54">
        <f>SUM(FS!F139)</f>
        <v>0</v>
      </c>
      <c r="AZ139" s="54">
        <f>SUM(IT!F139)</f>
        <v>0</v>
      </c>
      <c r="BA139" s="80"/>
      <c r="BB139" s="60">
        <f>SUM(C139:H139)+SUM(AP139:AZ139)</f>
        <v>0</v>
      </c>
      <c r="BD139" s="101"/>
      <c r="BE139" s="288">
        <f>SUM(Sheet1!K139)</f>
        <v>0</v>
      </c>
    </row>
    <row r="140" spans="1:57" ht="12">
      <c r="A140" s="31" t="s">
        <v>65</v>
      </c>
      <c r="B140" s="31" t="s">
        <v>254</v>
      </c>
      <c r="C140" s="48"/>
      <c r="D140" s="48">
        <f>SUM(J140:M140)</f>
        <v>0</v>
      </c>
      <c r="E140" s="48">
        <f>SUM(O140:AI140)</f>
        <v>0</v>
      </c>
      <c r="F140" s="48">
        <f t="shared" si="140"/>
        <v>0</v>
      </c>
      <c r="G140" s="48"/>
      <c r="H140" s="48"/>
      <c r="I140" s="73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67"/>
      <c r="AP140" s="39">
        <f>SUM('AC-SVC'!C140)*AP$7</f>
        <v>0</v>
      </c>
      <c r="AQ140" s="39">
        <f>SUM('AC-SVC'!D140)</f>
        <v>0</v>
      </c>
      <c r="AR140" s="39">
        <f>SUM('AC-SVC'!G140)</f>
        <v>0</v>
      </c>
      <c r="AS140" s="39">
        <f>SUM('AC-SVC'!J140)</f>
        <v>0</v>
      </c>
      <c r="AT140" s="39">
        <f>SUM('AC-SVC'!O140)</f>
        <v>0</v>
      </c>
      <c r="AU140" s="39">
        <f>SUM('AC-SVC'!P140)*AU$7</f>
        <v>0</v>
      </c>
      <c r="AV140" s="39">
        <f>SUM(PT!E140)</f>
        <v>0</v>
      </c>
      <c r="AW140" s="39">
        <f>SUM(FC!F140)</f>
        <v>0</v>
      </c>
      <c r="AX140" s="39">
        <v>0</v>
      </c>
      <c r="AY140" s="39">
        <f>SUM(FS!F140)</f>
        <v>0</v>
      </c>
      <c r="AZ140" s="39">
        <f>SUM(IT!F140)</f>
        <v>0</v>
      </c>
      <c r="BA140" s="73"/>
      <c r="BB140" s="59">
        <f>SUM(C140:H140)+SUM(AP140:AZ140)</f>
        <v>0</v>
      </c>
      <c r="BD140" s="102"/>
      <c r="BE140" s="288">
        <f>SUM(Sheet1!K140)</f>
        <v>0</v>
      </c>
    </row>
    <row r="141" spans="1:57" ht="10">
      <c r="B141" s="31" t="s">
        <v>255</v>
      </c>
      <c r="C141" s="47">
        <f>SUM(C137:C140)</f>
        <v>0</v>
      </c>
      <c r="D141" s="47">
        <f t="shared" ref="D141:H141" si="141">SUM(D137:D140)</f>
        <v>0</v>
      </c>
      <c r="E141" s="47">
        <f t="shared" si="141"/>
        <v>0</v>
      </c>
      <c r="F141" s="47">
        <f t="shared" si="141"/>
        <v>0</v>
      </c>
      <c r="G141" s="47">
        <f t="shared" si="141"/>
        <v>0</v>
      </c>
      <c r="H141" s="47">
        <f t="shared" si="141"/>
        <v>0</v>
      </c>
      <c r="I141" s="71"/>
      <c r="J141" s="47">
        <f t="shared" ref="J141:AN141" si="142">SUM(J137:J140)</f>
        <v>0</v>
      </c>
      <c r="K141" s="47">
        <f t="shared" si="142"/>
        <v>0</v>
      </c>
      <c r="L141" s="47">
        <f t="shared" si="142"/>
        <v>0</v>
      </c>
      <c r="M141" s="47">
        <f t="shared" si="142"/>
        <v>0</v>
      </c>
      <c r="N141" s="47"/>
      <c r="O141" s="47">
        <f t="shared" si="142"/>
        <v>0</v>
      </c>
      <c r="P141" s="47">
        <f t="shared" ref="P141" si="143">SUM(P137:P140)</f>
        <v>0</v>
      </c>
      <c r="Q141" s="47">
        <f t="shared" si="142"/>
        <v>0</v>
      </c>
      <c r="R141" s="47">
        <f t="shared" si="142"/>
        <v>0</v>
      </c>
      <c r="S141" s="47">
        <f t="shared" si="142"/>
        <v>0</v>
      </c>
      <c r="T141" s="47">
        <f t="shared" ref="T141:U141" si="144">SUM(T137:T140)</f>
        <v>0</v>
      </c>
      <c r="U141" s="47">
        <f t="shared" si="144"/>
        <v>0</v>
      </c>
      <c r="V141" s="47">
        <f t="shared" si="142"/>
        <v>0</v>
      </c>
      <c r="W141" s="47">
        <f t="shared" si="142"/>
        <v>0</v>
      </c>
      <c r="X141" s="47">
        <f t="shared" si="142"/>
        <v>0</v>
      </c>
      <c r="Y141" s="47">
        <f t="shared" si="142"/>
        <v>0</v>
      </c>
      <c r="Z141" s="47">
        <f t="shared" si="142"/>
        <v>0</v>
      </c>
      <c r="AA141" s="47">
        <f t="shared" si="142"/>
        <v>0</v>
      </c>
      <c r="AB141" s="47">
        <f t="shared" si="142"/>
        <v>0</v>
      </c>
      <c r="AC141" s="47">
        <f t="shared" si="142"/>
        <v>0</v>
      </c>
      <c r="AD141" s="47">
        <f t="shared" si="142"/>
        <v>0</v>
      </c>
      <c r="AE141" s="47">
        <f t="shared" si="142"/>
        <v>0</v>
      </c>
      <c r="AF141" s="47">
        <f t="shared" si="142"/>
        <v>0</v>
      </c>
      <c r="AG141" s="47">
        <f t="shared" si="142"/>
        <v>0</v>
      </c>
      <c r="AH141" s="47">
        <f t="shared" si="142"/>
        <v>0</v>
      </c>
      <c r="AI141" s="47">
        <f t="shared" si="142"/>
        <v>0</v>
      </c>
      <c r="AJ141" s="47">
        <f t="shared" si="142"/>
        <v>0</v>
      </c>
      <c r="AK141" s="47">
        <f t="shared" si="142"/>
        <v>0</v>
      </c>
      <c r="AL141" s="47">
        <f t="shared" si="142"/>
        <v>0</v>
      </c>
      <c r="AM141" s="47">
        <f t="shared" ref="AM141" si="145">SUM(AM137:AM140)</f>
        <v>0</v>
      </c>
      <c r="AN141" s="47">
        <f t="shared" si="142"/>
        <v>0</v>
      </c>
      <c r="AO141" s="67"/>
      <c r="AP141" s="38">
        <f t="shared" ref="AP141:AZ141" si="146">+SUM(AP137:AP140)</f>
        <v>0</v>
      </c>
      <c r="AQ141" s="47">
        <f t="shared" si="146"/>
        <v>0</v>
      </c>
      <c r="AR141" s="38">
        <f t="shared" si="146"/>
        <v>0</v>
      </c>
      <c r="AS141" s="38">
        <f t="shared" si="146"/>
        <v>0</v>
      </c>
      <c r="AT141" s="38">
        <f t="shared" si="146"/>
        <v>0</v>
      </c>
      <c r="AU141" s="38">
        <f t="shared" ref="AU141" si="147">+SUM(AU137:AU140)</f>
        <v>0</v>
      </c>
      <c r="AV141" s="38">
        <f t="shared" si="146"/>
        <v>0</v>
      </c>
      <c r="AW141" s="38">
        <f t="shared" si="146"/>
        <v>75791.65625</v>
      </c>
      <c r="AX141" s="38">
        <f t="shared" si="146"/>
        <v>0</v>
      </c>
      <c r="AY141" s="38">
        <f t="shared" si="146"/>
        <v>0</v>
      </c>
      <c r="AZ141" s="38">
        <f t="shared" si="146"/>
        <v>0</v>
      </c>
      <c r="BA141" s="71"/>
      <c r="BB141" s="50">
        <f>SUM(BB137:BB140)</f>
        <v>75791.65625</v>
      </c>
      <c r="BD141" s="100">
        <f>SUM(BD137:BD140)</f>
        <v>60354.36</v>
      </c>
      <c r="BE141" s="293">
        <f>SUM(BE137:BE140)</f>
        <v>62481.111509433962</v>
      </c>
    </row>
    <row r="142" spans="1:57">
      <c r="C142" s="47"/>
      <c r="D142" s="47"/>
      <c r="E142" s="47"/>
      <c r="F142" s="47"/>
      <c r="G142" s="47"/>
      <c r="H142" s="47"/>
      <c r="I142" s="71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67"/>
      <c r="AP142" s="38"/>
      <c r="AQ142" s="47"/>
      <c r="AR142" s="38"/>
      <c r="AS142" s="38"/>
      <c r="AT142" s="38"/>
      <c r="AU142" s="38"/>
      <c r="AV142" s="38"/>
      <c r="AW142" s="38"/>
      <c r="AX142" s="38"/>
      <c r="AY142" s="38"/>
      <c r="AZ142" s="38"/>
      <c r="BA142" s="71"/>
      <c r="BB142" s="50"/>
      <c r="BD142" s="100"/>
      <c r="BE142" s="290"/>
    </row>
    <row r="143" spans="1:57">
      <c r="A143" s="31" t="s">
        <v>256</v>
      </c>
      <c r="C143" s="47"/>
      <c r="D143" s="47"/>
      <c r="E143" s="47"/>
      <c r="F143" s="47"/>
      <c r="G143" s="47"/>
      <c r="H143" s="47"/>
      <c r="I143" s="71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67"/>
      <c r="AP143" s="38"/>
      <c r="AQ143" s="47"/>
      <c r="AR143" s="38"/>
      <c r="AS143" s="38"/>
      <c r="AT143" s="38"/>
      <c r="AU143" s="38"/>
      <c r="AV143" s="38"/>
      <c r="AW143" s="38"/>
      <c r="AX143" s="38"/>
      <c r="AY143" s="38"/>
      <c r="AZ143" s="38"/>
      <c r="BA143" s="71"/>
      <c r="BB143" s="50"/>
      <c r="BD143" s="100"/>
      <c r="BE143" s="290"/>
    </row>
    <row r="144" spans="1:57" ht="12">
      <c r="A144" s="31" t="s">
        <v>66</v>
      </c>
      <c r="B144" s="31" t="s">
        <v>257</v>
      </c>
      <c r="C144" s="47"/>
      <c r="D144" s="47">
        <f t="shared" ref="D144:D149" si="148">SUM(J144:M144)</f>
        <v>0</v>
      </c>
      <c r="E144" s="64">
        <f t="shared" ref="E144:E149" si="149">SUM(O144:AI144)</f>
        <v>0</v>
      </c>
      <c r="F144" s="64">
        <f t="shared" ref="F144:F149" si="150">SUM(AJ144:AN144)</f>
        <v>0</v>
      </c>
      <c r="G144" s="47"/>
      <c r="H144" s="47"/>
      <c r="I144" s="71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67"/>
      <c r="AP144" s="54">
        <f>SUM('AC-SVC'!C144)*AP$7</f>
        <v>0</v>
      </c>
      <c r="AQ144" s="54">
        <f>SUM('AC-SVC'!D144)</f>
        <v>0</v>
      </c>
      <c r="AR144" s="54">
        <f>SUM('AC-SVC'!G144)</f>
        <v>0</v>
      </c>
      <c r="AS144" s="54">
        <f>SUM('AC-SVC'!J144)</f>
        <v>0</v>
      </c>
      <c r="AT144" s="54">
        <f>SUM('AC-SVC'!O144)</f>
        <v>0</v>
      </c>
      <c r="AU144" s="54">
        <f>SUM('AC-SVC'!P144)*AU$7</f>
        <v>0</v>
      </c>
      <c r="AV144" s="54">
        <f>SUM(PT!E144)</f>
        <v>0</v>
      </c>
      <c r="AW144" s="54">
        <f>SUM(FC!F144)</f>
        <v>0</v>
      </c>
      <c r="AX144" s="54">
        <v>0</v>
      </c>
      <c r="AY144" s="54">
        <f>SUM(FS!F144)</f>
        <v>0</v>
      </c>
      <c r="AZ144" s="54">
        <f>SUM(IT!F144)</f>
        <v>284</v>
      </c>
      <c r="BA144" s="80"/>
      <c r="BB144" s="60">
        <f t="shared" ref="BB144:BB148" si="151">SUM(C144:H144)+SUM(AP144:AZ144)</f>
        <v>284</v>
      </c>
      <c r="BD144" s="101">
        <v>1523.94</v>
      </c>
      <c r="BE144" s="288">
        <f>+BB144</f>
        <v>284</v>
      </c>
    </row>
    <row r="145" spans="1:58" ht="12">
      <c r="A145" s="31" t="s">
        <v>67</v>
      </c>
      <c r="B145" s="31" t="s">
        <v>258</v>
      </c>
      <c r="C145" s="47"/>
      <c r="D145" s="47">
        <f t="shared" si="148"/>
        <v>0</v>
      </c>
      <c r="E145" s="64">
        <f t="shared" si="149"/>
        <v>0</v>
      </c>
      <c r="F145" s="64">
        <f t="shared" si="150"/>
        <v>0</v>
      </c>
      <c r="G145" s="47"/>
      <c r="H145" s="47"/>
      <c r="I145" s="71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67"/>
      <c r="AP145" s="54">
        <f>SUM('AC-SVC'!C145)*AP$7</f>
        <v>0</v>
      </c>
      <c r="AQ145" s="54">
        <f>SUM('AC-SVC'!D145)</f>
        <v>0</v>
      </c>
      <c r="AR145" s="54">
        <f>SUM('AC-SVC'!G145)</f>
        <v>0</v>
      </c>
      <c r="AS145" s="54">
        <f>SUM('AC-SVC'!J145)</f>
        <v>0</v>
      </c>
      <c r="AT145" s="54">
        <f>SUM('AC-SVC'!O145)</f>
        <v>0</v>
      </c>
      <c r="AU145" s="54">
        <f>SUM('AC-SVC'!P145)*AU$7</f>
        <v>0</v>
      </c>
      <c r="AV145" s="54">
        <f>SUM(PT!E145)</f>
        <v>0</v>
      </c>
      <c r="AW145" s="54">
        <f>SUM(FC!F145)</f>
        <v>0</v>
      </c>
      <c r="AX145" s="54">
        <v>0</v>
      </c>
      <c r="AY145" s="54">
        <f>SUM(FS!F145)</f>
        <v>0</v>
      </c>
      <c r="AZ145" s="54">
        <f>SUM(IT!F145)</f>
        <v>0</v>
      </c>
      <c r="BA145" s="80"/>
      <c r="BB145" s="60">
        <f t="shared" si="151"/>
        <v>0</v>
      </c>
      <c r="BD145" s="101"/>
      <c r="BE145" s="288">
        <f>SUM(Sheet1!K145)</f>
        <v>0</v>
      </c>
    </row>
    <row r="146" spans="1:58" ht="12">
      <c r="A146" s="31" t="s">
        <v>68</v>
      </c>
      <c r="B146" s="31" t="s">
        <v>259</v>
      </c>
      <c r="C146" s="47"/>
      <c r="D146" s="47">
        <f t="shared" si="148"/>
        <v>0</v>
      </c>
      <c r="E146" s="64">
        <f t="shared" si="149"/>
        <v>0</v>
      </c>
      <c r="F146" s="64">
        <f t="shared" si="150"/>
        <v>0</v>
      </c>
      <c r="G146" s="47">
        <f>55*12</f>
        <v>660</v>
      </c>
      <c r="H146" s="47">
        <f>55*12</f>
        <v>660</v>
      </c>
      <c r="I146" s="71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67"/>
      <c r="AP146" s="54">
        <f>SUM('AC-SVC'!C146)*AP$7</f>
        <v>0</v>
      </c>
      <c r="AQ146" s="54">
        <f>SUM('AC-SVC'!D146)</f>
        <v>1320</v>
      </c>
      <c r="AR146" s="54">
        <f>SUM('AC-SVC'!G146)</f>
        <v>1320</v>
      </c>
      <c r="AS146" s="54">
        <f>SUM('AC-SVC'!J146)</f>
        <v>1320</v>
      </c>
      <c r="AT146" s="54">
        <f>SUM('AC-SVC'!O146)</f>
        <v>0</v>
      </c>
      <c r="AU146" s="54">
        <f>SUM('AC-SVC'!P146)*AU$7</f>
        <v>0</v>
      </c>
      <c r="AV146" s="54">
        <f>SUM(PT!E146)</f>
        <v>0</v>
      </c>
      <c r="AW146" s="54">
        <f>SUM(FC!F146)</f>
        <v>660</v>
      </c>
      <c r="AX146" s="54">
        <v>0</v>
      </c>
      <c r="AY146" s="54">
        <f>SUM(FS!F146)</f>
        <v>0</v>
      </c>
      <c r="AZ146" s="54">
        <f>SUM(IT!F146)</f>
        <v>2340</v>
      </c>
      <c r="BA146" s="80"/>
      <c r="BB146" s="60">
        <f t="shared" si="151"/>
        <v>8280</v>
      </c>
      <c r="BD146" s="101">
        <v>1942.97</v>
      </c>
      <c r="BE146" s="288">
        <f>+BB146</f>
        <v>8280</v>
      </c>
    </row>
    <row r="147" spans="1:58" ht="12">
      <c r="A147" s="31" t="s">
        <v>69</v>
      </c>
      <c r="B147" s="31" t="s">
        <v>260</v>
      </c>
      <c r="C147" s="47"/>
      <c r="D147" s="47">
        <f t="shared" si="148"/>
        <v>0</v>
      </c>
      <c r="E147" s="64">
        <f t="shared" si="149"/>
        <v>0</v>
      </c>
      <c r="F147" s="64">
        <f t="shared" si="150"/>
        <v>0</v>
      </c>
      <c r="G147" s="47"/>
      <c r="H147" s="47"/>
      <c r="I147" s="71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67"/>
      <c r="AP147" s="54">
        <f>SUM('AC-SVC'!C147)*AP$7</f>
        <v>0</v>
      </c>
      <c r="AQ147" s="54">
        <f>SUM('AC-SVC'!D147)</f>
        <v>0</v>
      </c>
      <c r="AR147" s="54">
        <f>SUM('AC-SVC'!G147)</f>
        <v>0</v>
      </c>
      <c r="AS147" s="54">
        <f>SUM('AC-SVC'!J147)</f>
        <v>0</v>
      </c>
      <c r="AT147" s="54">
        <f>SUM('AC-SVC'!O147)</f>
        <v>0</v>
      </c>
      <c r="AU147" s="54">
        <f>SUM('AC-SVC'!P147)*AU$7</f>
        <v>0</v>
      </c>
      <c r="AV147" s="54">
        <f>SUM(PT!E147)</f>
        <v>0</v>
      </c>
      <c r="AW147" s="54">
        <f>SUM(FC!F147)</f>
        <v>0</v>
      </c>
      <c r="AX147" s="54">
        <v>0</v>
      </c>
      <c r="AY147" s="54">
        <f>SUM(FS!F147)</f>
        <v>0</v>
      </c>
      <c r="AZ147" s="54">
        <f>SUM(IT!F147)</f>
        <v>19551</v>
      </c>
      <c r="BA147" s="80"/>
      <c r="BB147" s="60">
        <f t="shared" si="151"/>
        <v>19551</v>
      </c>
      <c r="BD147" s="101">
        <v>4500</v>
      </c>
      <c r="BE147" s="288">
        <f>+BB147</f>
        <v>19551</v>
      </c>
    </row>
    <row r="148" spans="1:58" ht="12" customHeight="1">
      <c r="A148" s="31" t="s">
        <v>70</v>
      </c>
      <c r="B148" s="31" t="s">
        <v>261</v>
      </c>
      <c r="C148" s="47">
        <f>300*12</f>
        <v>3600</v>
      </c>
      <c r="D148" s="47">
        <f t="shared" si="148"/>
        <v>0</v>
      </c>
      <c r="E148" s="64">
        <f t="shared" si="149"/>
        <v>0</v>
      </c>
      <c r="F148" s="64">
        <f t="shared" si="150"/>
        <v>0</v>
      </c>
      <c r="G148" s="47"/>
      <c r="H148" s="47"/>
      <c r="I148" s="71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67"/>
      <c r="AP148" s="54">
        <f>SUM('AC-SVC'!C148)*AP$7</f>
        <v>0</v>
      </c>
      <c r="AQ148" s="54">
        <f>SUM('AC-SVC'!D148)</f>
        <v>0</v>
      </c>
      <c r="AR148" s="54">
        <f>SUM('AC-SVC'!G148)</f>
        <v>0</v>
      </c>
      <c r="AS148" s="54">
        <f>SUM('AC-SVC'!J148)</f>
        <v>0</v>
      </c>
      <c r="AT148" s="54">
        <f>SUM('AC-SVC'!O148)</f>
        <v>0</v>
      </c>
      <c r="AU148" s="54">
        <f>SUM('AC-SVC'!P148)*AU$7</f>
        <v>0</v>
      </c>
      <c r="AV148" s="54">
        <f>SUM(PT!E148)</f>
        <v>0</v>
      </c>
      <c r="AW148" s="54">
        <f>SUM(FC!F148)</f>
        <v>0</v>
      </c>
      <c r="AX148" s="54">
        <v>0</v>
      </c>
      <c r="AY148" s="54">
        <f>SUM(FS!F148)</f>
        <v>0</v>
      </c>
      <c r="AZ148" s="54">
        <f>SUM(IT!F148)</f>
        <v>0</v>
      </c>
      <c r="BA148" s="80"/>
      <c r="BB148" s="60">
        <f t="shared" si="151"/>
        <v>3600</v>
      </c>
      <c r="BD148" s="101">
        <v>5480.57</v>
      </c>
      <c r="BE148" s="288">
        <f>SUM(Sheet1!K148)</f>
        <v>3134.4377358490569</v>
      </c>
    </row>
    <row r="149" spans="1:58" ht="12">
      <c r="A149" s="31" t="s">
        <v>425</v>
      </c>
      <c r="B149" s="31" t="s">
        <v>427</v>
      </c>
      <c r="C149" s="48">
        <v>30000</v>
      </c>
      <c r="D149" s="48">
        <f t="shared" si="148"/>
        <v>0</v>
      </c>
      <c r="E149" s="48">
        <f t="shared" si="149"/>
        <v>0</v>
      </c>
      <c r="F149" s="48">
        <f t="shared" si="150"/>
        <v>0</v>
      </c>
      <c r="G149" s="48"/>
      <c r="H149" s="48"/>
      <c r="I149" s="73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67"/>
      <c r="AP149" s="39">
        <f>SUM('AC-SVC'!C149)*AP$7</f>
        <v>0</v>
      </c>
      <c r="AQ149" s="39">
        <f>SUM('AC-SVC'!D149)</f>
        <v>0</v>
      </c>
      <c r="AR149" s="39">
        <f>SUM('AC-SVC'!G149)</f>
        <v>0</v>
      </c>
      <c r="AS149" s="39">
        <f>SUM('AC-SVC'!J149)</f>
        <v>0</v>
      </c>
      <c r="AT149" s="39">
        <f>SUM('AC-SVC'!O149)</f>
        <v>0</v>
      </c>
      <c r="AU149" s="39">
        <f>SUM('AC-SVC'!P149)*AU$7</f>
        <v>0</v>
      </c>
      <c r="AV149" s="39">
        <f>SUM(PT!E149)</f>
        <v>0</v>
      </c>
      <c r="AW149" s="39">
        <f>SUM(FC!F149)</f>
        <v>0</v>
      </c>
      <c r="AX149" s="39">
        <v>0</v>
      </c>
      <c r="AY149" s="39">
        <f>SUM(FS!F149)</f>
        <v>0</v>
      </c>
      <c r="AZ149" s="39">
        <f>SUM(IT!F149)</f>
        <v>0</v>
      </c>
      <c r="BA149" s="73"/>
      <c r="BB149" s="59">
        <f>SUM(C149:H149)+SUM(AP149:AZ149)</f>
        <v>30000</v>
      </c>
      <c r="BD149" s="102">
        <v>12167.42</v>
      </c>
      <c r="BE149" s="288">
        <f>+BD149</f>
        <v>12167.42</v>
      </c>
    </row>
    <row r="150" spans="1:58" ht="10">
      <c r="B150" s="31" t="s">
        <v>262</v>
      </c>
      <c r="C150" s="47">
        <f>SUM(C144:C149)</f>
        <v>33600</v>
      </c>
      <c r="D150" s="47">
        <f t="shared" ref="D150:H150" si="152">SUM(D144:D149)</f>
        <v>0</v>
      </c>
      <c r="E150" s="47">
        <f t="shared" si="152"/>
        <v>0</v>
      </c>
      <c r="F150" s="47">
        <f t="shared" si="152"/>
        <v>0</v>
      </c>
      <c r="G150" s="47">
        <f t="shared" si="152"/>
        <v>660</v>
      </c>
      <c r="H150" s="47">
        <f t="shared" si="152"/>
        <v>660</v>
      </c>
      <c r="I150" s="71"/>
      <c r="J150" s="47">
        <f t="shared" ref="J150:AN150" si="153">SUM(J144:J149)</f>
        <v>0</v>
      </c>
      <c r="K150" s="47">
        <f t="shared" si="153"/>
        <v>0</v>
      </c>
      <c r="L150" s="47">
        <f t="shared" si="153"/>
        <v>0</v>
      </c>
      <c r="M150" s="47">
        <f t="shared" si="153"/>
        <v>0</v>
      </c>
      <c r="N150" s="47"/>
      <c r="O150" s="47">
        <f t="shared" si="153"/>
        <v>0</v>
      </c>
      <c r="P150" s="47">
        <f t="shared" ref="P150" si="154">SUM(P144:P149)</f>
        <v>0</v>
      </c>
      <c r="Q150" s="47">
        <f t="shared" si="153"/>
        <v>0</v>
      </c>
      <c r="R150" s="47">
        <f t="shared" si="153"/>
        <v>0</v>
      </c>
      <c r="S150" s="47">
        <f t="shared" si="153"/>
        <v>0</v>
      </c>
      <c r="T150" s="47">
        <f t="shared" ref="T150:U150" si="155">SUM(T144:T149)</f>
        <v>0</v>
      </c>
      <c r="U150" s="47">
        <f t="shared" si="155"/>
        <v>0</v>
      </c>
      <c r="V150" s="47">
        <f t="shared" si="153"/>
        <v>0</v>
      </c>
      <c r="W150" s="47">
        <f t="shared" si="153"/>
        <v>0</v>
      </c>
      <c r="X150" s="47">
        <f t="shared" si="153"/>
        <v>0</v>
      </c>
      <c r="Y150" s="47">
        <f t="shared" si="153"/>
        <v>0</v>
      </c>
      <c r="Z150" s="47">
        <f t="shared" si="153"/>
        <v>0</v>
      </c>
      <c r="AA150" s="47">
        <f t="shared" si="153"/>
        <v>0</v>
      </c>
      <c r="AB150" s="47">
        <f t="shared" si="153"/>
        <v>0</v>
      </c>
      <c r="AC150" s="47">
        <f t="shared" si="153"/>
        <v>0</v>
      </c>
      <c r="AD150" s="47">
        <f t="shared" si="153"/>
        <v>0</v>
      </c>
      <c r="AE150" s="47">
        <f t="shared" si="153"/>
        <v>0</v>
      </c>
      <c r="AF150" s="47">
        <f t="shared" si="153"/>
        <v>0</v>
      </c>
      <c r="AG150" s="47">
        <f t="shared" si="153"/>
        <v>0</v>
      </c>
      <c r="AH150" s="47">
        <f t="shared" si="153"/>
        <v>0</v>
      </c>
      <c r="AI150" s="47">
        <f t="shared" si="153"/>
        <v>0</v>
      </c>
      <c r="AJ150" s="47">
        <f t="shared" si="153"/>
        <v>0</v>
      </c>
      <c r="AK150" s="47">
        <f t="shared" si="153"/>
        <v>0</v>
      </c>
      <c r="AL150" s="47">
        <f t="shared" si="153"/>
        <v>0</v>
      </c>
      <c r="AM150" s="47">
        <f t="shared" ref="AM150" si="156">SUM(AM144:AM149)</f>
        <v>0</v>
      </c>
      <c r="AN150" s="47">
        <f t="shared" si="153"/>
        <v>0</v>
      </c>
      <c r="AO150" s="67"/>
      <c r="AP150" s="38">
        <f t="shared" ref="AP150:AV150" si="157">+SUM(AP144:AP149)</f>
        <v>0</v>
      </c>
      <c r="AQ150" s="47">
        <f t="shared" si="157"/>
        <v>1320</v>
      </c>
      <c r="AR150" s="38">
        <f t="shared" si="157"/>
        <v>1320</v>
      </c>
      <c r="AS150" s="38">
        <f t="shared" si="157"/>
        <v>1320</v>
      </c>
      <c r="AT150" s="38">
        <f t="shared" si="157"/>
        <v>0</v>
      </c>
      <c r="AU150" s="38">
        <f t="shared" ref="AU150" si="158">+SUM(AU144:AU149)</f>
        <v>0</v>
      </c>
      <c r="AV150" s="38">
        <f t="shared" si="157"/>
        <v>0</v>
      </c>
      <c r="AW150" s="38">
        <f>+SUM(AW144:AW149)</f>
        <v>660</v>
      </c>
      <c r="AX150" s="38">
        <f t="shared" ref="AX150" si="159">+SUM(AX144:AX149)</f>
        <v>0</v>
      </c>
      <c r="AY150" s="38">
        <f t="shared" ref="AY150:AZ150" si="160">+SUM(AY144:AY149)</f>
        <v>0</v>
      </c>
      <c r="AZ150" s="38">
        <f t="shared" si="160"/>
        <v>22175</v>
      </c>
      <c r="BA150" s="71"/>
      <c r="BB150" s="50">
        <f>SUM(BB144:BB149)</f>
        <v>61715</v>
      </c>
      <c r="BD150" s="100">
        <f>SUM(BD144:BD149)</f>
        <v>25614.9</v>
      </c>
      <c r="BE150" s="293">
        <f>SUM(BE144:BE149)</f>
        <v>43416.857735849058</v>
      </c>
    </row>
    <row r="151" spans="1:58">
      <c r="C151" s="47"/>
      <c r="D151" s="47"/>
      <c r="E151" s="47"/>
      <c r="F151" s="47"/>
      <c r="G151" s="47"/>
      <c r="H151" s="47"/>
      <c r="I151" s="71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67"/>
      <c r="AP151" s="38"/>
      <c r="AQ151" s="47"/>
      <c r="AR151" s="38"/>
      <c r="AS151" s="38"/>
      <c r="AT151" s="38"/>
      <c r="AU151" s="38"/>
      <c r="AV151" s="38"/>
      <c r="AW151" s="38"/>
      <c r="AX151" s="38"/>
      <c r="AY151" s="38"/>
      <c r="AZ151" s="38"/>
      <c r="BA151" s="71"/>
      <c r="BB151" s="50"/>
      <c r="BD151" s="100"/>
      <c r="BE151" s="290"/>
    </row>
    <row r="152" spans="1:58">
      <c r="A152" s="31" t="s">
        <v>263</v>
      </c>
      <c r="C152" s="47"/>
      <c r="D152" s="47"/>
      <c r="E152" s="47"/>
      <c r="F152" s="47"/>
      <c r="G152" s="47"/>
      <c r="H152" s="47"/>
      <c r="I152" s="71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67"/>
      <c r="AP152" s="38"/>
      <c r="AQ152" s="47"/>
      <c r="AR152" s="38"/>
      <c r="AS152" s="38"/>
      <c r="AT152" s="38"/>
      <c r="AU152" s="38"/>
      <c r="AV152" s="38"/>
      <c r="AW152" s="38"/>
      <c r="AX152" s="38"/>
      <c r="AY152" s="38"/>
      <c r="AZ152" s="38"/>
      <c r="BA152" s="71"/>
      <c r="BB152" s="50"/>
      <c r="BD152" s="100"/>
      <c r="BE152" s="290"/>
    </row>
    <row r="153" spans="1:58">
      <c r="A153" s="31" t="s">
        <v>264</v>
      </c>
      <c r="C153" s="47"/>
      <c r="D153" s="47"/>
      <c r="E153" s="47"/>
      <c r="F153" s="47"/>
      <c r="G153" s="47"/>
      <c r="H153" s="47"/>
      <c r="I153" s="71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67"/>
      <c r="AP153" s="38"/>
      <c r="AQ153" s="47"/>
      <c r="AR153" s="38"/>
      <c r="AS153" s="38"/>
      <c r="AT153" s="38"/>
      <c r="AU153" s="38"/>
      <c r="AV153" s="38"/>
      <c r="AW153" s="38"/>
      <c r="AX153" s="38"/>
      <c r="AY153" s="38"/>
      <c r="AZ153" s="38"/>
      <c r="BA153" s="71"/>
      <c r="BB153" s="50"/>
      <c r="BD153" s="100"/>
      <c r="BE153" s="290"/>
    </row>
    <row r="154" spans="1:58" ht="12">
      <c r="A154" s="31" t="s">
        <v>71</v>
      </c>
      <c r="B154" s="31" t="s">
        <v>72</v>
      </c>
      <c r="C154" s="48"/>
      <c r="D154" s="48">
        <f>SUM(J154:M154)</f>
        <v>600</v>
      </c>
      <c r="E154" s="48">
        <f>SUM(O154:AI154)</f>
        <v>1800</v>
      </c>
      <c r="F154" s="48">
        <f t="shared" ref="F154" si="161">SUM(AJ154:AN154)</f>
        <v>750</v>
      </c>
      <c r="G154" s="48">
        <v>500</v>
      </c>
      <c r="H154" s="48">
        <v>250</v>
      </c>
      <c r="I154" s="73"/>
      <c r="J154" s="48">
        <v>150</v>
      </c>
      <c r="K154" s="48">
        <v>150</v>
      </c>
      <c r="L154" s="48">
        <v>150</v>
      </c>
      <c r="M154" s="48">
        <v>150</v>
      </c>
      <c r="N154" s="48"/>
      <c r="O154" s="48">
        <v>150</v>
      </c>
      <c r="P154" s="48">
        <v>150</v>
      </c>
      <c r="Q154" s="48">
        <v>150</v>
      </c>
      <c r="R154" s="48">
        <v>0</v>
      </c>
      <c r="S154" s="48">
        <v>150</v>
      </c>
      <c r="T154" s="48">
        <v>0</v>
      </c>
      <c r="U154" s="48">
        <v>0</v>
      </c>
      <c r="V154" s="48">
        <v>0</v>
      </c>
      <c r="W154" s="48">
        <v>150</v>
      </c>
      <c r="X154" s="48">
        <v>150</v>
      </c>
      <c r="Y154" s="48">
        <v>0</v>
      </c>
      <c r="Z154" s="48">
        <v>150</v>
      </c>
      <c r="AA154" s="48">
        <v>150</v>
      </c>
      <c r="AB154" s="48"/>
      <c r="AC154" s="48">
        <v>150</v>
      </c>
      <c r="AD154" s="48">
        <v>0</v>
      </c>
      <c r="AE154" s="48">
        <v>150</v>
      </c>
      <c r="AF154" s="48">
        <v>150</v>
      </c>
      <c r="AG154" s="48">
        <v>150</v>
      </c>
      <c r="AH154" s="48">
        <v>0</v>
      </c>
      <c r="AI154" s="48">
        <v>0</v>
      </c>
      <c r="AJ154" s="48">
        <v>150</v>
      </c>
      <c r="AK154" s="48">
        <v>150</v>
      </c>
      <c r="AL154" s="48">
        <v>150</v>
      </c>
      <c r="AM154" s="48">
        <v>150</v>
      </c>
      <c r="AN154" s="48">
        <v>150</v>
      </c>
      <c r="AO154" s="67"/>
      <c r="AP154" s="39">
        <f>SUM('AC-SVC'!C154)*AP$7</f>
        <v>0</v>
      </c>
      <c r="AQ154" s="39">
        <f>SUM('AC-SVC'!D154)</f>
        <v>300</v>
      </c>
      <c r="AR154" s="39">
        <f>SUM('AC-SVC'!G154)</f>
        <v>100</v>
      </c>
      <c r="AS154" s="39">
        <f>SUM('AC-SVC'!J154)</f>
        <v>300</v>
      </c>
      <c r="AT154" s="39">
        <f>SUM('AC-SVC'!O154)</f>
        <v>0</v>
      </c>
      <c r="AU154" s="39">
        <f>SUM('AC-SVC'!P154)*AU$7</f>
        <v>0</v>
      </c>
      <c r="AV154" s="39">
        <f>SUM(PT!E154)</f>
        <v>0</v>
      </c>
      <c r="AW154" s="39">
        <f>SUM(FC!F154)</f>
        <v>500</v>
      </c>
      <c r="AX154" s="39">
        <v>0</v>
      </c>
      <c r="AY154" s="39">
        <f>SUM(FS!F154)</f>
        <v>450</v>
      </c>
      <c r="AZ154" s="39">
        <f>SUM(IT!F154)</f>
        <v>0</v>
      </c>
      <c r="BA154" s="73"/>
      <c r="BB154" s="59">
        <f>SUM(C154:H154)+SUM(AP154:AZ154)</f>
        <v>5550</v>
      </c>
      <c r="BD154" s="102">
        <v>8612.76</v>
      </c>
      <c r="BE154" s="288">
        <f>SUM(Sheet1!K154)</f>
        <v>8833.6905660377361</v>
      </c>
    </row>
    <row r="155" spans="1:58" ht="10">
      <c r="B155" s="31" t="s">
        <v>265</v>
      </c>
      <c r="C155" s="47">
        <f>SUM(C154)</f>
        <v>0</v>
      </c>
      <c r="D155" s="47">
        <f t="shared" ref="D155:H155" si="162">SUM(D154)</f>
        <v>600</v>
      </c>
      <c r="E155" s="47">
        <f t="shared" si="162"/>
        <v>1800</v>
      </c>
      <c r="F155" s="47">
        <f t="shared" si="162"/>
        <v>750</v>
      </c>
      <c r="G155" s="47">
        <f t="shared" si="162"/>
        <v>500</v>
      </c>
      <c r="H155" s="47">
        <f t="shared" si="162"/>
        <v>250</v>
      </c>
      <c r="I155" s="71"/>
      <c r="J155" s="47">
        <f t="shared" ref="J155:AN155" si="163">SUM(J154)</f>
        <v>150</v>
      </c>
      <c r="K155" s="47">
        <f t="shared" si="163"/>
        <v>150</v>
      </c>
      <c r="L155" s="47">
        <f t="shared" si="163"/>
        <v>150</v>
      </c>
      <c r="M155" s="47">
        <f t="shared" si="163"/>
        <v>150</v>
      </c>
      <c r="N155" s="47"/>
      <c r="O155" s="47">
        <f t="shared" si="163"/>
        <v>150</v>
      </c>
      <c r="P155" s="47">
        <f t="shared" ref="P155" si="164">SUM(P154)</f>
        <v>150</v>
      </c>
      <c r="Q155" s="47">
        <f t="shared" si="163"/>
        <v>150</v>
      </c>
      <c r="R155" s="47">
        <f t="shared" si="163"/>
        <v>0</v>
      </c>
      <c r="S155" s="47">
        <f t="shared" si="163"/>
        <v>150</v>
      </c>
      <c r="T155" s="47">
        <f t="shared" ref="T155:U155" si="165">SUM(T154)</f>
        <v>0</v>
      </c>
      <c r="U155" s="47">
        <f t="shared" si="165"/>
        <v>0</v>
      </c>
      <c r="V155" s="47">
        <f t="shared" si="163"/>
        <v>0</v>
      </c>
      <c r="W155" s="47">
        <f t="shared" si="163"/>
        <v>150</v>
      </c>
      <c r="X155" s="47">
        <f t="shared" si="163"/>
        <v>150</v>
      </c>
      <c r="Y155" s="47">
        <f t="shared" si="163"/>
        <v>0</v>
      </c>
      <c r="Z155" s="47">
        <f t="shared" si="163"/>
        <v>150</v>
      </c>
      <c r="AA155" s="47">
        <f t="shared" si="163"/>
        <v>150</v>
      </c>
      <c r="AB155" s="47">
        <f t="shared" si="163"/>
        <v>0</v>
      </c>
      <c r="AC155" s="47">
        <f t="shared" si="163"/>
        <v>150</v>
      </c>
      <c r="AD155" s="47">
        <f t="shared" si="163"/>
        <v>0</v>
      </c>
      <c r="AE155" s="47">
        <f t="shared" si="163"/>
        <v>150</v>
      </c>
      <c r="AF155" s="47">
        <f t="shared" si="163"/>
        <v>150</v>
      </c>
      <c r="AG155" s="47">
        <f t="shared" si="163"/>
        <v>150</v>
      </c>
      <c r="AH155" s="47">
        <f t="shared" si="163"/>
        <v>0</v>
      </c>
      <c r="AI155" s="47">
        <f t="shared" si="163"/>
        <v>0</v>
      </c>
      <c r="AJ155" s="47">
        <f t="shared" si="163"/>
        <v>150</v>
      </c>
      <c r="AK155" s="47">
        <f t="shared" si="163"/>
        <v>150</v>
      </c>
      <c r="AL155" s="47">
        <f t="shared" si="163"/>
        <v>150</v>
      </c>
      <c r="AM155" s="47">
        <f t="shared" ref="AM155" si="166">SUM(AM154)</f>
        <v>150</v>
      </c>
      <c r="AN155" s="47">
        <f t="shared" si="163"/>
        <v>150</v>
      </c>
      <c r="AO155" s="67"/>
      <c r="AP155" s="38">
        <f t="shared" ref="AP155:AZ155" si="167">SUM(AP154)</f>
        <v>0</v>
      </c>
      <c r="AQ155" s="38">
        <f t="shared" si="167"/>
        <v>300</v>
      </c>
      <c r="AR155" s="38">
        <f t="shared" si="167"/>
        <v>100</v>
      </c>
      <c r="AS155" s="38">
        <f t="shared" si="167"/>
        <v>300</v>
      </c>
      <c r="AT155" s="38">
        <f t="shared" si="167"/>
        <v>0</v>
      </c>
      <c r="AU155" s="38">
        <f t="shared" si="167"/>
        <v>0</v>
      </c>
      <c r="AV155" s="38">
        <f t="shared" si="167"/>
        <v>0</v>
      </c>
      <c r="AW155" s="38">
        <f t="shared" si="167"/>
        <v>500</v>
      </c>
      <c r="AX155" s="38">
        <f t="shared" ref="AX155" si="168">SUM(AX154)</f>
        <v>0</v>
      </c>
      <c r="AY155" s="38">
        <f t="shared" si="167"/>
        <v>450</v>
      </c>
      <c r="AZ155" s="38">
        <f t="shared" si="167"/>
        <v>0</v>
      </c>
      <c r="BA155" s="71"/>
      <c r="BB155" s="50">
        <f>SUM(BB154)</f>
        <v>5550</v>
      </c>
      <c r="BD155" s="100">
        <f>SUM(BD154)</f>
        <v>8612.76</v>
      </c>
      <c r="BE155" s="293">
        <f>SUM(BE154)</f>
        <v>8833.6905660377361</v>
      </c>
    </row>
    <row r="156" spans="1:58">
      <c r="C156" s="47"/>
      <c r="D156" s="47"/>
      <c r="E156" s="47"/>
      <c r="F156" s="47"/>
      <c r="G156" s="47"/>
      <c r="H156" s="47"/>
      <c r="I156" s="71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67"/>
      <c r="AP156" s="38"/>
      <c r="AQ156" s="47"/>
      <c r="AR156" s="38"/>
      <c r="AS156" s="38"/>
      <c r="AT156" s="38"/>
      <c r="AU156" s="38"/>
      <c r="AV156" s="38"/>
      <c r="AW156" s="38"/>
      <c r="AX156" s="38"/>
      <c r="AY156" s="38"/>
      <c r="AZ156" s="38"/>
      <c r="BA156" s="71"/>
      <c r="BB156" s="50"/>
      <c r="BD156" s="100"/>
      <c r="BE156" s="290"/>
    </row>
    <row r="157" spans="1:58">
      <c r="A157" s="31" t="s">
        <v>266</v>
      </c>
      <c r="C157" s="47"/>
      <c r="D157" s="47"/>
      <c r="E157" s="47"/>
      <c r="F157" s="47"/>
      <c r="G157" s="47"/>
      <c r="H157" s="47"/>
      <c r="I157" s="71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67"/>
      <c r="AP157" s="38"/>
      <c r="AQ157" s="47"/>
      <c r="AR157" s="38"/>
      <c r="AS157" s="38"/>
      <c r="AT157" s="38"/>
      <c r="AU157" s="38"/>
      <c r="AV157" s="38"/>
      <c r="AW157" s="38"/>
      <c r="AX157" s="38"/>
      <c r="AY157" s="38"/>
      <c r="AZ157" s="38"/>
      <c r="BA157" s="71"/>
      <c r="BB157" s="50"/>
      <c r="BD157" s="100"/>
      <c r="BE157" s="290"/>
    </row>
    <row r="158" spans="1:58" ht="12">
      <c r="A158" s="31" t="s">
        <v>73</v>
      </c>
      <c r="B158" s="31" t="s">
        <v>74</v>
      </c>
      <c r="C158" s="47">
        <f>SUM(150*SUM!B7)</f>
        <v>60000</v>
      </c>
      <c r="D158" s="47">
        <f t="shared" ref="D158:D170" si="169">SUM(J158:M158)</f>
        <v>2000</v>
      </c>
      <c r="E158" s="64">
        <f t="shared" ref="E158:E170" si="170">SUM(O158:AI158)</f>
        <v>8500</v>
      </c>
      <c r="F158" s="64">
        <f t="shared" ref="F158:F170" si="171">SUM(AJ158:AN158)</f>
        <v>4000</v>
      </c>
      <c r="G158" s="47">
        <v>1000</v>
      </c>
      <c r="H158" s="47">
        <v>1000</v>
      </c>
      <c r="I158" s="71"/>
      <c r="J158" s="47">
        <v>500</v>
      </c>
      <c r="K158" s="47">
        <v>500</v>
      </c>
      <c r="L158" s="47">
        <v>500</v>
      </c>
      <c r="M158" s="47">
        <v>500</v>
      </c>
      <c r="N158" s="47"/>
      <c r="O158" s="47">
        <v>500</v>
      </c>
      <c r="P158" s="47">
        <v>500</v>
      </c>
      <c r="Q158" s="47">
        <v>500</v>
      </c>
      <c r="R158" s="47">
        <v>500</v>
      </c>
      <c r="S158" s="47">
        <v>500</v>
      </c>
      <c r="T158" s="47">
        <v>500</v>
      </c>
      <c r="U158" s="47">
        <v>500</v>
      </c>
      <c r="V158" s="47">
        <v>500</v>
      </c>
      <c r="W158" s="47">
        <v>500</v>
      </c>
      <c r="X158" s="47">
        <v>500</v>
      </c>
      <c r="Y158" s="47"/>
      <c r="Z158" s="47">
        <v>200</v>
      </c>
      <c r="AA158" s="47">
        <v>500</v>
      </c>
      <c r="AB158" s="47">
        <v>150</v>
      </c>
      <c r="AC158" s="47">
        <v>500</v>
      </c>
      <c r="AD158" s="47">
        <v>150</v>
      </c>
      <c r="AE158" s="47">
        <v>1000</v>
      </c>
      <c r="AF158" s="47">
        <v>500</v>
      </c>
      <c r="AG158" s="47">
        <v>500</v>
      </c>
      <c r="AH158" s="47">
        <v>0</v>
      </c>
      <c r="AI158" s="47">
        <v>0</v>
      </c>
      <c r="AJ158" s="47">
        <v>500</v>
      </c>
      <c r="AK158" s="47">
        <v>500</v>
      </c>
      <c r="AL158" s="47">
        <v>2000</v>
      </c>
      <c r="AM158" s="47">
        <v>500</v>
      </c>
      <c r="AN158" s="47">
        <v>500</v>
      </c>
      <c r="AO158" s="67"/>
      <c r="AP158" s="54">
        <f>SUM('AC-SVC'!C158)*AP$7</f>
        <v>0</v>
      </c>
      <c r="AQ158" s="54">
        <f>SUM('AC-SVC'!D158)</f>
        <v>1500</v>
      </c>
      <c r="AR158" s="54">
        <f>SUM('AC-SVC'!G158)</f>
        <v>1575</v>
      </c>
      <c r="AS158" s="54">
        <f>SUM('AC-SVC'!J158)</f>
        <v>1200</v>
      </c>
      <c r="AT158" s="54">
        <f>SUM('AC-SVC'!O158)</f>
        <v>700</v>
      </c>
      <c r="AU158" s="54">
        <f>SUM('AC-SVC'!P158)*AU$7</f>
        <v>0</v>
      </c>
      <c r="AV158" s="54">
        <f>SUM(PT!E158)</f>
        <v>1000</v>
      </c>
      <c r="AW158" s="54">
        <f>SUM(FC!F158)</f>
        <v>40000</v>
      </c>
      <c r="AX158" s="54">
        <v>0</v>
      </c>
      <c r="AY158" s="54">
        <f>SUM(FS!F158)</f>
        <v>11755.102040816328</v>
      </c>
      <c r="AZ158" s="54">
        <f>SUM(IT!F158)</f>
        <v>1350</v>
      </c>
      <c r="BA158" s="80"/>
      <c r="BB158" s="60">
        <f t="shared" ref="BB158:BB170" si="172">SUM(C158:H158)+SUM(AP158:AZ158)</f>
        <v>135580.10204081633</v>
      </c>
      <c r="BD158" s="101">
        <v>236276.59</v>
      </c>
      <c r="BE158" s="288">
        <f>SUM(Sheet1!K158)</f>
        <v>192945.18113207546</v>
      </c>
    </row>
    <row r="159" spans="1:58" ht="12">
      <c r="A159" s="31" t="s">
        <v>75</v>
      </c>
      <c r="B159" s="31" t="s">
        <v>154</v>
      </c>
      <c r="D159" s="47">
        <f t="shared" si="169"/>
        <v>0</v>
      </c>
      <c r="E159" s="64">
        <f t="shared" si="170"/>
        <v>0</v>
      </c>
      <c r="F159" s="64">
        <f t="shared" si="171"/>
        <v>0</v>
      </c>
      <c r="G159" s="47"/>
      <c r="H159" s="47"/>
      <c r="I159" s="71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67"/>
      <c r="AP159" s="54">
        <f>SUM('AC-SVC'!C159)*AP$7</f>
        <v>0</v>
      </c>
      <c r="AQ159" s="54">
        <f>SUM('AC-SVC'!D159)</f>
        <v>0</v>
      </c>
      <c r="AR159" s="54">
        <f>SUM('AC-SVC'!G159)</f>
        <v>0</v>
      </c>
      <c r="AS159" s="54">
        <f>SUM('AC-SVC'!J159)</f>
        <v>0</v>
      </c>
      <c r="AT159" s="54">
        <f>SUM('AC-SVC'!O159)</f>
        <v>725</v>
      </c>
      <c r="AU159" s="54">
        <f>SUM('AC-SVC'!P159)*AU$7</f>
        <v>0</v>
      </c>
      <c r="AV159" s="54">
        <f>SUM(PT!E159)</f>
        <v>0</v>
      </c>
      <c r="AW159" s="54">
        <f>SUM(FC!F159)</f>
        <v>500</v>
      </c>
      <c r="AX159" s="54">
        <v>0</v>
      </c>
      <c r="AY159" s="54">
        <f>SUM(FS!F159)</f>
        <v>0</v>
      </c>
      <c r="AZ159" s="54">
        <f>SUM(IT!F159)</f>
        <v>5143</v>
      </c>
      <c r="BA159" s="80"/>
      <c r="BB159" s="60">
        <f t="shared" si="172"/>
        <v>6368</v>
      </c>
      <c r="BD159" s="101">
        <v>8277.33</v>
      </c>
      <c r="BE159" s="288">
        <f>SUM(Sheet1!K159)</f>
        <v>9430.7622641509424</v>
      </c>
    </row>
    <row r="160" spans="1:58" ht="12">
      <c r="A160" s="31" t="s">
        <v>442</v>
      </c>
      <c r="B160" s="31" t="s">
        <v>97</v>
      </c>
      <c r="C160" s="47">
        <v>19000</v>
      </c>
      <c r="D160" s="47">
        <f t="shared" si="169"/>
        <v>0</v>
      </c>
      <c r="E160" s="64">
        <f t="shared" si="170"/>
        <v>0</v>
      </c>
      <c r="F160" s="64">
        <f t="shared" si="171"/>
        <v>0</v>
      </c>
      <c r="G160" s="47"/>
      <c r="H160" s="47"/>
      <c r="I160" s="71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67"/>
      <c r="AP160" s="54">
        <f>SUM('AC-SVC'!C160)*AP$7</f>
        <v>0</v>
      </c>
      <c r="AQ160" s="54">
        <f>SUM('AC-SVC'!D160)</f>
        <v>0</v>
      </c>
      <c r="AR160" s="54">
        <f>SUM('AC-SVC'!G160)</f>
        <v>0</v>
      </c>
      <c r="AS160" s="54">
        <f>SUM('AC-SVC'!J160)</f>
        <v>0</v>
      </c>
      <c r="AT160" s="54">
        <f>SUM('AC-SVC'!O160)</f>
        <v>0</v>
      </c>
      <c r="AU160" s="54">
        <f>SUM('AC-SVC'!P160)*AU$7</f>
        <v>0</v>
      </c>
      <c r="AV160" s="54">
        <f>SUM(PT!E160)</f>
        <v>0</v>
      </c>
      <c r="AW160" s="54">
        <f>SUM(FC!F160)</f>
        <v>100000</v>
      </c>
      <c r="AX160" s="54">
        <v>0</v>
      </c>
      <c r="AY160" s="54">
        <f>SUM(FS!F160)</f>
        <v>33700</v>
      </c>
      <c r="AZ160" s="54">
        <f>SUM(IT!F160)</f>
        <v>0</v>
      </c>
      <c r="BA160" s="80"/>
      <c r="BB160" s="60">
        <f t="shared" si="172"/>
        <v>152700</v>
      </c>
      <c r="BD160" s="101">
        <v>7203.98</v>
      </c>
      <c r="BE160" s="288">
        <f>+BB160</f>
        <v>152700</v>
      </c>
      <c r="BF160" s="26" t="s">
        <v>648</v>
      </c>
    </row>
    <row r="161" spans="1:57" ht="12">
      <c r="A161" s="31" t="s">
        <v>443</v>
      </c>
      <c r="B161" s="31" t="s">
        <v>421</v>
      </c>
      <c r="C161" s="47">
        <v>5000</v>
      </c>
      <c r="D161" s="47">
        <f t="shared" si="169"/>
        <v>0</v>
      </c>
      <c r="E161" s="64">
        <f t="shared" si="170"/>
        <v>0</v>
      </c>
      <c r="F161" s="64">
        <f t="shared" si="171"/>
        <v>0</v>
      </c>
      <c r="G161" s="47">
        <f>3*20</f>
        <v>60</v>
      </c>
      <c r="H161" s="47">
        <v>20</v>
      </c>
      <c r="I161" s="71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67"/>
      <c r="AP161" s="54">
        <f>SUM('AC-SVC'!C161)*AP$7</f>
        <v>0</v>
      </c>
      <c r="AQ161" s="54">
        <f>SUM('AC-SVC'!D161)</f>
        <v>0</v>
      </c>
      <c r="AR161" s="54">
        <f>SUM('AC-SVC'!G161)</f>
        <v>0</v>
      </c>
      <c r="AS161" s="54">
        <f>SUM('AC-SVC'!J161)</f>
        <v>0</v>
      </c>
      <c r="AT161" s="54">
        <f>SUM('AC-SVC'!O161)</f>
        <v>0</v>
      </c>
      <c r="AU161" s="54">
        <f>SUM('AC-SVC'!P161)*AU$7</f>
        <v>0</v>
      </c>
      <c r="AV161" s="54">
        <f>SUM(PT!E161)</f>
        <v>0</v>
      </c>
      <c r="AW161" s="54">
        <f>SUM(FC!F161)</f>
        <v>0</v>
      </c>
      <c r="AX161" s="54">
        <v>0</v>
      </c>
      <c r="AY161" s="54">
        <f>SUM(FS!F161)</f>
        <v>0</v>
      </c>
      <c r="AZ161" s="54">
        <f>SUM(IT!F161)</f>
        <v>7061</v>
      </c>
      <c r="BA161" s="80"/>
      <c r="BB161" s="60">
        <f t="shared" si="172"/>
        <v>12141</v>
      </c>
      <c r="BD161" s="101">
        <v>3615.99</v>
      </c>
      <c r="BE161" s="288">
        <f>SUM(Sheet1!K161)</f>
        <v>2972.0415094339623</v>
      </c>
    </row>
    <row r="162" spans="1:57" ht="12">
      <c r="A162" s="31" t="s">
        <v>444</v>
      </c>
      <c r="B162" s="31" t="s">
        <v>423</v>
      </c>
      <c r="C162" s="47"/>
      <c r="D162" s="47">
        <f t="shared" si="169"/>
        <v>0</v>
      </c>
      <c r="E162" s="64">
        <f t="shared" si="170"/>
        <v>0</v>
      </c>
      <c r="F162" s="64">
        <f t="shared" si="171"/>
        <v>0</v>
      </c>
      <c r="G162" s="47"/>
      <c r="H162" s="47"/>
      <c r="I162" s="71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67"/>
      <c r="AP162" s="54">
        <f>SUM('AC-SVC'!C162)*AP$7</f>
        <v>0</v>
      </c>
      <c r="AQ162" s="54">
        <f>SUM('AC-SVC'!D162)</f>
        <v>0</v>
      </c>
      <c r="AR162" s="54">
        <f>SUM('AC-SVC'!G162)</f>
        <v>0</v>
      </c>
      <c r="AS162" s="54">
        <f>SUM('AC-SVC'!J162)</f>
        <v>0</v>
      </c>
      <c r="AT162" s="54">
        <f>SUM('AC-SVC'!O162)</f>
        <v>0</v>
      </c>
      <c r="AU162" s="54">
        <f>SUM('AC-SVC'!P162)*AU$7</f>
        <v>0</v>
      </c>
      <c r="AV162" s="54">
        <f>SUM(PT!E162)</f>
        <v>0</v>
      </c>
      <c r="AW162" s="54">
        <f>SUM(FC!F162)</f>
        <v>0</v>
      </c>
      <c r="AX162" s="54">
        <v>0</v>
      </c>
      <c r="AY162" s="54">
        <f>SUM(FS!F162)</f>
        <v>0</v>
      </c>
      <c r="AZ162" s="54">
        <f>SUM(IT!F162)</f>
        <v>91160</v>
      </c>
      <c r="BA162" s="80"/>
      <c r="BB162" s="60">
        <f t="shared" si="172"/>
        <v>91160</v>
      </c>
      <c r="BD162" s="101">
        <v>67806.289999999994</v>
      </c>
      <c r="BE162" s="288">
        <f>SUM(Sheet1!K162)</f>
        <v>73209.841509433958</v>
      </c>
    </row>
    <row r="163" spans="1:57" ht="12">
      <c r="A163" s="31" t="s">
        <v>445</v>
      </c>
      <c r="B163" s="31" t="s">
        <v>416</v>
      </c>
      <c r="C163" s="47"/>
      <c r="D163" s="47">
        <f t="shared" ref="D163" si="173">SUM(J163:M163)</f>
        <v>0</v>
      </c>
      <c r="E163" s="64">
        <f t="shared" si="170"/>
        <v>0</v>
      </c>
      <c r="F163" s="64">
        <f t="shared" si="171"/>
        <v>0</v>
      </c>
      <c r="G163" s="47"/>
      <c r="H163" s="47"/>
      <c r="I163" s="71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67"/>
      <c r="AP163" s="54">
        <f>SUM('AC-SVC'!C163)*AP$7</f>
        <v>0</v>
      </c>
      <c r="AQ163" s="54">
        <f>SUM('AC-SVC'!D163)</f>
        <v>0</v>
      </c>
      <c r="AR163" s="54">
        <f>SUM('AC-SVC'!G163)</f>
        <v>0</v>
      </c>
      <c r="AS163" s="54">
        <f>SUM('AC-SVC'!J163)</f>
        <v>0</v>
      </c>
      <c r="AT163" s="54">
        <f>SUM('AC-SVC'!O163)</f>
        <v>0</v>
      </c>
      <c r="AU163" s="54">
        <f>SUM('AC-SVC'!P163)*AU$7</f>
        <v>0</v>
      </c>
      <c r="AV163" s="54">
        <f>SUM(PT!E163)</f>
        <v>0</v>
      </c>
      <c r="AW163" s="54">
        <f>SUM(FC!F163)</f>
        <v>0</v>
      </c>
      <c r="AX163" s="54">
        <v>0</v>
      </c>
      <c r="AY163" s="54">
        <f>SUM(FS!F163)</f>
        <v>0</v>
      </c>
      <c r="AZ163" s="54">
        <f>SUM(IT!F163)</f>
        <v>0</v>
      </c>
      <c r="BA163" s="80"/>
      <c r="BB163" s="60">
        <f t="shared" si="172"/>
        <v>0</v>
      </c>
      <c r="BD163" s="101">
        <v>29.16</v>
      </c>
      <c r="BE163" s="288">
        <f>SUM(Sheet1!K163)</f>
        <v>39.305660377358485</v>
      </c>
    </row>
    <row r="164" spans="1:57" ht="12">
      <c r="A164" s="31" t="s">
        <v>76</v>
      </c>
      <c r="B164" s="31" t="s">
        <v>155</v>
      </c>
      <c r="C164" s="47"/>
      <c r="D164" s="47">
        <f t="shared" si="169"/>
        <v>0</v>
      </c>
      <c r="E164" s="64">
        <f t="shared" si="170"/>
        <v>0</v>
      </c>
      <c r="F164" s="64">
        <f t="shared" si="171"/>
        <v>0</v>
      </c>
      <c r="G164" s="47"/>
      <c r="H164" s="47"/>
      <c r="I164" s="71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67"/>
      <c r="AP164" s="54">
        <f>SUM('AC-SVC'!C164)*AP$7</f>
        <v>0</v>
      </c>
      <c r="AQ164" s="54">
        <f>SUM('AC-SVC'!D164)</f>
        <v>0</v>
      </c>
      <c r="AR164" s="54">
        <f>SUM('AC-SVC'!G164)</f>
        <v>0</v>
      </c>
      <c r="AS164" s="54">
        <f>SUM('AC-SVC'!J164)</f>
        <v>0</v>
      </c>
      <c r="AT164" s="54">
        <f>SUM('AC-SVC'!O164)</f>
        <v>0</v>
      </c>
      <c r="AU164" s="54">
        <f>SUM('AC-SVC'!P164)*AU$7</f>
        <v>0</v>
      </c>
      <c r="AV164" s="54">
        <f>SUM(PT!E164)</f>
        <v>2500</v>
      </c>
      <c r="AW164" s="54">
        <f>SUM(FC!F164)</f>
        <v>0</v>
      </c>
      <c r="AX164" s="54">
        <v>0</v>
      </c>
      <c r="AY164" s="54">
        <f>SUM(FS!F164)</f>
        <v>94080</v>
      </c>
      <c r="AZ164" s="54">
        <f>SUM(IT!F164)</f>
        <v>0</v>
      </c>
      <c r="BA164" s="80"/>
      <c r="BB164" s="60">
        <f t="shared" si="172"/>
        <v>96580</v>
      </c>
      <c r="BD164" s="101">
        <v>129352.09</v>
      </c>
      <c r="BE164" s="288">
        <f>SUM(Sheet1!K164)</f>
        <v>109963.29811320754</v>
      </c>
    </row>
    <row r="165" spans="1:57" ht="12">
      <c r="A165" s="31" t="s">
        <v>79</v>
      </c>
      <c r="B165" s="31" t="s">
        <v>156</v>
      </c>
      <c r="C165" s="47"/>
      <c r="D165" s="47">
        <f t="shared" si="169"/>
        <v>0</v>
      </c>
      <c r="E165" s="64">
        <f t="shared" si="170"/>
        <v>0</v>
      </c>
      <c r="F165" s="64">
        <f t="shared" si="171"/>
        <v>0</v>
      </c>
      <c r="G165" s="47"/>
      <c r="H165" s="47"/>
      <c r="I165" s="71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67"/>
      <c r="AP165" s="54">
        <f>SUM('AC-SVC'!C165)*AP$7</f>
        <v>0</v>
      </c>
      <c r="AQ165" s="54">
        <f>SUM('AC-SVC'!D165)</f>
        <v>0</v>
      </c>
      <c r="AR165" s="54">
        <f>SUM('AC-SVC'!G165)</f>
        <v>0</v>
      </c>
      <c r="AS165" s="54">
        <f>SUM('AC-SVC'!J165)</f>
        <v>0</v>
      </c>
      <c r="AT165" s="54">
        <f>SUM('AC-SVC'!O165)</f>
        <v>0</v>
      </c>
      <c r="AU165" s="54">
        <f>SUM('AC-SVC'!P165)*AU$7</f>
        <v>0</v>
      </c>
      <c r="AV165" s="54">
        <f>SUM(PT!E165)</f>
        <v>0</v>
      </c>
      <c r="AW165" s="54">
        <f>SUM(FC!F165)</f>
        <v>0</v>
      </c>
      <c r="AX165" s="54">
        <v>0</v>
      </c>
      <c r="AY165" s="54">
        <f>SUM(FS!F165)</f>
        <v>2380.9523809523812</v>
      </c>
      <c r="AZ165" s="54">
        <f>SUM(IT!F165)</f>
        <v>0</v>
      </c>
      <c r="BA165" s="80"/>
      <c r="BB165" s="60">
        <f t="shared" si="172"/>
        <v>2380.9523809523812</v>
      </c>
      <c r="BD165" s="101">
        <v>0</v>
      </c>
      <c r="BE165" s="288">
        <f>SUM(Sheet1!K165)</f>
        <v>0</v>
      </c>
    </row>
    <row r="166" spans="1:57" ht="12">
      <c r="A166" s="31" t="s">
        <v>78</v>
      </c>
      <c r="B166" s="31" t="s">
        <v>157</v>
      </c>
      <c r="C166" s="47"/>
      <c r="D166" s="47">
        <f t="shared" si="169"/>
        <v>0</v>
      </c>
      <c r="E166" s="64">
        <f t="shared" si="170"/>
        <v>0</v>
      </c>
      <c r="F166" s="64">
        <f t="shared" si="171"/>
        <v>0</v>
      </c>
      <c r="G166" s="47"/>
      <c r="H166" s="47"/>
      <c r="I166" s="71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67"/>
      <c r="AP166" s="54">
        <f>SUM('AC-SVC'!C166)*AP$7</f>
        <v>0</v>
      </c>
      <c r="AQ166" s="54">
        <f>SUM('AC-SVC'!D166)</f>
        <v>0</v>
      </c>
      <c r="AR166" s="54">
        <f>SUM('AC-SVC'!G166)</f>
        <v>0</v>
      </c>
      <c r="AS166" s="54">
        <f>SUM('AC-SVC'!J166)</f>
        <v>0</v>
      </c>
      <c r="AT166" s="54">
        <f>SUM('AC-SVC'!O166)</f>
        <v>0</v>
      </c>
      <c r="AU166" s="54">
        <f>SUM('AC-SVC'!P166)*AU$7</f>
        <v>0</v>
      </c>
      <c r="AV166" s="54">
        <f>SUM(PT!E166)</f>
        <v>0</v>
      </c>
      <c r="AW166" s="54">
        <f>SUM(FC!F166)</f>
        <v>0</v>
      </c>
      <c r="AX166" s="54">
        <v>0</v>
      </c>
      <c r="AY166" s="54">
        <f>SUM(FS!F166)</f>
        <v>680.27210884353735</v>
      </c>
      <c r="AZ166" s="54">
        <f>SUM(IT!F166)</f>
        <v>0</v>
      </c>
      <c r="BA166" s="80"/>
      <c r="BB166" s="60">
        <f t="shared" si="172"/>
        <v>680.27210884353735</v>
      </c>
      <c r="BD166" s="101">
        <v>0</v>
      </c>
      <c r="BE166" s="288">
        <f>SUM(Sheet1!K166)</f>
        <v>0</v>
      </c>
    </row>
    <row r="167" spans="1:57" ht="12">
      <c r="A167" s="31" t="s">
        <v>77</v>
      </c>
      <c r="B167" s="31" t="s">
        <v>158</v>
      </c>
      <c r="C167" s="47">
        <f>255*SUM!B7</f>
        <v>102000</v>
      </c>
      <c r="D167" s="47">
        <f t="shared" si="169"/>
        <v>0</v>
      </c>
      <c r="E167" s="64">
        <f t="shared" si="170"/>
        <v>0</v>
      </c>
      <c r="F167" s="64">
        <f t="shared" si="171"/>
        <v>0</v>
      </c>
      <c r="G167" s="47"/>
      <c r="H167" s="47"/>
      <c r="I167" s="71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67"/>
      <c r="AP167" s="54">
        <f>SUM('AC-SVC'!C167)*AP$7</f>
        <v>0</v>
      </c>
      <c r="AQ167" s="54">
        <f>SUM('AC-SVC'!D167)</f>
        <v>0</v>
      </c>
      <c r="AR167" s="54">
        <f>SUM('AC-SVC'!G167)</f>
        <v>0</v>
      </c>
      <c r="AS167" s="54">
        <f>SUM('AC-SVC'!J167)</f>
        <v>0</v>
      </c>
      <c r="AT167" s="54">
        <f>SUM('AC-SVC'!O167)</f>
        <v>0</v>
      </c>
      <c r="AU167" s="54">
        <f>SUM('AC-SVC'!P167)*AU$7</f>
        <v>0</v>
      </c>
      <c r="AV167" s="54">
        <f>SUM(PT!E167)</f>
        <v>0</v>
      </c>
      <c r="AW167" s="54">
        <f>SUM(FC!F167)</f>
        <v>0</v>
      </c>
      <c r="AX167" s="54">
        <v>0</v>
      </c>
      <c r="AY167" s="54">
        <f>SUM(FS!F167)</f>
        <v>0</v>
      </c>
      <c r="AZ167" s="54">
        <f>SUM(IT!F167)</f>
        <v>0</v>
      </c>
      <c r="BA167" s="80"/>
      <c r="BB167" s="60">
        <f t="shared" si="172"/>
        <v>102000</v>
      </c>
      <c r="BD167" s="101">
        <v>92000</v>
      </c>
      <c r="BE167" s="288">
        <f>SUM(Sheet1!K167)*1.25</f>
        <v>75471.698113207545</v>
      </c>
    </row>
    <row r="168" spans="1:57" ht="12">
      <c r="A168" s="31" t="s">
        <v>80</v>
      </c>
      <c r="B168" s="31" t="s">
        <v>159</v>
      </c>
      <c r="C168" s="47">
        <f>SUM(SUM!B7*90)</f>
        <v>36000</v>
      </c>
      <c r="D168" s="47">
        <f t="shared" si="169"/>
        <v>0</v>
      </c>
      <c r="E168" s="64">
        <f t="shared" si="170"/>
        <v>0</v>
      </c>
      <c r="F168" s="64">
        <f t="shared" si="171"/>
        <v>0</v>
      </c>
      <c r="G168" s="47"/>
      <c r="H168" s="47"/>
      <c r="I168" s="71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67"/>
      <c r="AP168" s="54">
        <f>SUM('AC-SVC'!C168)*AP$7</f>
        <v>0</v>
      </c>
      <c r="AQ168" s="54">
        <f>SUM('AC-SVC'!D168)</f>
        <v>0</v>
      </c>
      <c r="AR168" s="54">
        <f>SUM('AC-SVC'!G168)</f>
        <v>0</v>
      </c>
      <c r="AS168" s="54">
        <f>SUM('AC-SVC'!J168)</f>
        <v>0</v>
      </c>
      <c r="AT168" s="54">
        <f>SUM('AC-SVC'!O168)</f>
        <v>0</v>
      </c>
      <c r="AU168" s="54">
        <f>SUM('AC-SVC'!P168)*AU$7</f>
        <v>0</v>
      </c>
      <c r="AV168" s="54">
        <f>SUM(PT!E168)</f>
        <v>0</v>
      </c>
      <c r="AW168" s="54">
        <f>SUM(FC!F168)</f>
        <v>0</v>
      </c>
      <c r="AX168" s="54">
        <v>0</v>
      </c>
      <c r="AY168" s="54">
        <f>SUM(FS!F168)</f>
        <v>0</v>
      </c>
      <c r="AZ168" s="54">
        <f>SUM(IT!F168)</f>
        <v>0</v>
      </c>
      <c r="BA168" s="80"/>
      <c r="BB168" s="60">
        <f t="shared" si="172"/>
        <v>36000</v>
      </c>
      <c r="BD168" s="101">
        <v>0</v>
      </c>
      <c r="BE168" s="288">
        <f>SUM(Sheet1!K168)*1.5</f>
        <v>22055.116981132072</v>
      </c>
    </row>
    <row r="169" spans="1:57" ht="12">
      <c r="A169" s="31" t="s">
        <v>81</v>
      </c>
      <c r="B169" s="31" t="s">
        <v>160</v>
      </c>
      <c r="C169" s="47"/>
      <c r="D169" s="47">
        <f t="shared" si="169"/>
        <v>0</v>
      </c>
      <c r="E169" s="64">
        <f t="shared" si="170"/>
        <v>0</v>
      </c>
      <c r="F169" s="64">
        <f t="shared" si="171"/>
        <v>0</v>
      </c>
      <c r="G169" s="47"/>
      <c r="H169" s="47"/>
      <c r="I169" s="71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67"/>
      <c r="AP169" s="54">
        <f>SUM('AC-SVC'!C169)*AP$7</f>
        <v>0</v>
      </c>
      <c r="AQ169" s="54">
        <f>SUM('AC-SVC'!D169)</f>
        <v>0</v>
      </c>
      <c r="AR169" s="54">
        <f>SUM('AC-SVC'!G169)</f>
        <v>0</v>
      </c>
      <c r="AS169" s="54">
        <f>SUM('AC-SVC'!J169)</f>
        <v>0</v>
      </c>
      <c r="AT169" s="54">
        <f>SUM('AC-SVC'!O169)</f>
        <v>2324</v>
      </c>
      <c r="AU169" s="54">
        <f>SUM('AC-SVC'!P169)*AU$7</f>
        <v>0</v>
      </c>
      <c r="AV169" s="54">
        <f>SUM(PT!E169)</f>
        <v>0</v>
      </c>
      <c r="AW169" s="54">
        <f>SUM(FC!F169)</f>
        <v>0</v>
      </c>
      <c r="AX169" s="54">
        <v>0</v>
      </c>
      <c r="AY169" s="54">
        <f>SUM(FS!F169)</f>
        <v>0</v>
      </c>
      <c r="AZ169" s="54">
        <f>SUM(IT!F169)</f>
        <v>0</v>
      </c>
      <c r="BA169" s="80"/>
      <c r="BB169" s="60">
        <f t="shared" si="172"/>
        <v>2324</v>
      </c>
      <c r="BD169" s="101">
        <v>0</v>
      </c>
      <c r="BE169" s="288">
        <f>SUM(Sheet1!K169)</f>
        <v>0</v>
      </c>
    </row>
    <row r="170" spans="1:57" ht="12">
      <c r="A170" s="31" t="s">
        <v>161</v>
      </c>
      <c r="B170" s="31" t="s">
        <v>162</v>
      </c>
      <c r="C170" s="48">
        <v>5000</v>
      </c>
      <c r="D170" s="48">
        <f t="shared" si="169"/>
        <v>0</v>
      </c>
      <c r="E170" s="48">
        <f t="shared" si="170"/>
        <v>0</v>
      </c>
      <c r="F170" s="48">
        <f t="shared" si="171"/>
        <v>0</v>
      </c>
      <c r="G170" s="48"/>
      <c r="H170" s="48"/>
      <c r="I170" s="73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67"/>
      <c r="AP170" s="39">
        <f>SUM('AC-SVC'!C170)*AP$7</f>
        <v>0</v>
      </c>
      <c r="AQ170" s="39">
        <f>SUM('AC-SVC'!D170)</f>
        <v>0</v>
      </c>
      <c r="AR170" s="39">
        <f>SUM('AC-SVC'!G170)</f>
        <v>0</v>
      </c>
      <c r="AS170" s="39">
        <f>SUM('AC-SVC'!J170)</f>
        <v>0</v>
      </c>
      <c r="AT170" s="39">
        <f>SUM('AC-SVC'!O170)</f>
        <v>2250</v>
      </c>
      <c r="AU170" s="39">
        <f>SUM('AC-SVC'!P170)*AU$7</f>
        <v>0</v>
      </c>
      <c r="AV170" s="39">
        <f>SUM(PT!E170)</f>
        <v>0</v>
      </c>
      <c r="AW170" s="39">
        <f>SUM(FC!F170)</f>
        <v>0</v>
      </c>
      <c r="AX170" s="39">
        <v>0</v>
      </c>
      <c r="AY170" s="39">
        <f>SUM(FS!F170)</f>
        <v>0</v>
      </c>
      <c r="AZ170" s="39">
        <f>SUM(IT!F170)</f>
        <v>0</v>
      </c>
      <c r="BA170" s="73"/>
      <c r="BB170" s="59">
        <f t="shared" si="172"/>
        <v>7250</v>
      </c>
      <c r="BD170" s="102">
        <v>0</v>
      </c>
      <c r="BE170" s="288">
        <f>SUM(Sheet1!K170)</f>
        <v>1077.7698113207548</v>
      </c>
    </row>
    <row r="171" spans="1:57" ht="10">
      <c r="B171" s="31" t="s">
        <v>163</v>
      </c>
      <c r="C171" s="47">
        <f>SUM(C158:C170)</f>
        <v>227000</v>
      </c>
      <c r="D171" s="47">
        <f t="shared" ref="D171:H171" si="174">SUM(D158:D170)</f>
        <v>2000</v>
      </c>
      <c r="E171" s="47">
        <f t="shared" si="174"/>
        <v>8500</v>
      </c>
      <c r="F171" s="47">
        <f t="shared" si="174"/>
        <v>4000</v>
      </c>
      <c r="G171" s="47">
        <f t="shared" si="174"/>
        <v>1060</v>
      </c>
      <c r="H171" s="47">
        <f t="shared" si="174"/>
        <v>1020</v>
      </c>
      <c r="I171" s="71"/>
      <c r="J171" s="47">
        <f t="shared" ref="J171:AN171" si="175">SUM(J158:J170)</f>
        <v>500</v>
      </c>
      <c r="K171" s="47">
        <f t="shared" si="175"/>
        <v>500</v>
      </c>
      <c r="L171" s="47">
        <f t="shared" si="175"/>
        <v>500</v>
      </c>
      <c r="M171" s="47">
        <f t="shared" si="175"/>
        <v>500</v>
      </c>
      <c r="N171" s="47"/>
      <c r="O171" s="47">
        <f t="shared" si="175"/>
        <v>500</v>
      </c>
      <c r="P171" s="47">
        <f t="shared" ref="P171" si="176">SUM(P158:P170)</f>
        <v>500</v>
      </c>
      <c r="Q171" s="47">
        <f t="shared" si="175"/>
        <v>500</v>
      </c>
      <c r="R171" s="47">
        <f t="shared" si="175"/>
        <v>500</v>
      </c>
      <c r="S171" s="47">
        <f t="shared" si="175"/>
        <v>500</v>
      </c>
      <c r="T171" s="47">
        <f t="shared" ref="T171:U171" si="177">SUM(T158:T170)</f>
        <v>500</v>
      </c>
      <c r="U171" s="47">
        <f t="shared" si="177"/>
        <v>500</v>
      </c>
      <c r="V171" s="47">
        <f t="shared" si="175"/>
        <v>500</v>
      </c>
      <c r="W171" s="47">
        <f t="shared" si="175"/>
        <v>500</v>
      </c>
      <c r="X171" s="47">
        <f t="shared" si="175"/>
        <v>500</v>
      </c>
      <c r="Y171" s="47">
        <f t="shared" si="175"/>
        <v>0</v>
      </c>
      <c r="Z171" s="47">
        <f t="shared" si="175"/>
        <v>200</v>
      </c>
      <c r="AA171" s="47">
        <f t="shared" si="175"/>
        <v>500</v>
      </c>
      <c r="AB171" s="47">
        <f t="shared" si="175"/>
        <v>150</v>
      </c>
      <c r="AC171" s="47">
        <f t="shared" si="175"/>
        <v>500</v>
      </c>
      <c r="AD171" s="47">
        <f t="shared" si="175"/>
        <v>150</v>
      </c>
      <c r="AE171" s="47">
        <f t="shared" si="175"/>
        <v>1000</v>
      </c>
      <c r="AF171" s="47">
        <f t="shared" si="175"/>
        <v>500</v>
      </c>
      <c r="AG171" s="47">
        <f t="shared" si="175"/>
        <v>500</v>
      </c>
      <c r="AH171" s="47">
        <f t="shared" si="175"/>
        <v>0</v>
      </c>
      <c r="AI171" s="47">
        <f t="shared" si="175"/>
        <v>0</v>
      </c>
      <c r="AJ171" s="47">
        <f t="shared" si="175"/>
        <v>500</v>
      </c>
      <c r="AK171" s="47">
        <f t="shared" si="175"/>
        <v>500</v>
      </c>
      <c r="AL171" s="47">
        <f t="shared" si="175"/>
        <v>2000</v>
      </c>
      <c r="AM171" s="47">
        <f t="shared" ref="AM171" si="178">SUM(AM158:AM170)</f>
        <v>500</v>
      </c>
      <c r="AN171" s="47">
        <f t="shared" si="175"/>
        <v>500</v>
      </c>
      <c r="AO171" s="67"/>
      <c r="AP171" s="38">
        <f t="shared" ref="AP171:AZ171" si="179">SUM(AP158:AP170)</f>
        <v>0</v>
      </c>
      <c r="AQ171" s="38">
        <f t="shared" si="179"/>
        <v>1500</v>
      </c>
      <c r="AR171" s="38">
        <f t="shared" si="179"/>
        <v>1575</v>
      </c>
      <c r="AS171" s="38">
        <f t="shared" si="179"/>
        <v>1200</v>
      </c>
      <c r="AT171" s="38">
        <f t="shared" si="179"/>
        <v>5999</v>
      </c>
      <c r="AU171" s="38">
        <f t="shared" si="179"/>
        <v>0</v>
      </c>
      <c r="AV171" s="38">
        <f t="shared" si="179"/>
        <v>3500</v>
      </c>
      <c r="AW171" s="38">
        <f t="shared" si="179"/>
        <v>140500</v>
      </c>
      <c r="AX171" s="38">
        <f t="shared" si="179"/>
        <v>0</v>
      </c>
      <c r="AY171" s="38">
        <f t="shared" si="179"/>
        <v>142596.32653061225</v>
      </c>
      <c r="AZ171" s="38">
        <f t="shared" si="179"/>
        <v>104714</v>
      </c>
      <c r="BA171" s="71"/>
      <c r="BB171" s="50">
        <f>SUM(BB158:BB170)</f>
        <v>645164.32653061231</v>
      </c>
      <c r="BD171" s="100">
        <f>SUM(BD158:BD170)</f>
        <v>544561.42999999993</v>
      </c>
      <c r="BE171" s="293">
        <f>SUM(BE158:BE170)</f>
        <v>639865.01509433961</v>
      </c>
    </row>
    <row r="172" spans="1:57">
      <c r="C172" s="47"/>
      <c r="D172" s="47"/>
      <c r="E172" s="47"/>
      <c r="F172" s="47"/>
      <c r="G172" s="47"/>
      <c r="H172" s="47"/>
      <c r="I172" s="71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67"/>
      <c r="AP172" s="38"/>
      <c r="AQ172" s="47"/>
      <c r="AR172" s="38"/>
      <c r="AS172" s="38"/>
      <c r="AT172" s="38"/>
      <c r="AU172" s="38"/>
      <c r="AV172" s="38"/>
      <c r="AW172" s="38"/>
      <c r="AX172" s="38"/>
      <c r="AY172" s="38"/>
      <c r="AZ172" s="38"/>
      <c r="BA172" s="71"/>
      <c r="BB172" s="50"/>
      <c r="BD172" s="100"/>
      <c r="BE172" s="290"/>
    </row>
    <row r="173" spans="1:57">
      <c r="A173" s="31" t="s">
        <v>164</v>
      </c>
      <c r="C173" s="47"/>
      <c r="D173" s="47"/>
      <c r="E173" s="47"/>
      <c r="F173" s="47"/>
      <c r="G173" s="47"/>
      <c r="H173" s="47"/>
      <c r="I173" s="71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67"/>
      <c r="AP173" s="38"/>
      <c r="AQ173" s="47"/>
      <c r="AR173" s="38"/>
      <c r="AS173" s="38"/>
      <c r="AT173" s="38"/>
      <c r="AU173" s="38"/>
      <c r="AV173" s="38"/>
      <c r="AW173" s="38"/>
      <c r="AX173" s="38"/>
      <c r="AY173" s="38"/>
      <c r="AZ173" s="38"/>
      <c r="BA173" s="71"/>
      <c r="BB173" s="50"/>
      <c r="BD173" s="100"/>
      <c r="BE173" s="290"/>
    </row>
    <row r="174" spans="1:57">
      <c r="A174" s="31" t="s">
        <v>165</v>
      </c>
      <c r="C174" s="47"/>
      <c r="D174" s="47"/>
      <c r="E174" s="47"/>
      <c r="F174" s="47"/>
      <c r="G174" s="47"/>
      <c r="H174" s="47"/>
      <c r="I174" s="71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67"/>
      <c r="AP174" s="38"/>
      <c r="AQ174" s="47"/>
      <c r="AR174" s="38"/>
      <c r="AS174" s="38"/>
      <c r="AT174" s="38"/>
      <c r="AU174" s="38"/>
      <c r="AV174" s="38"/>
      <c r="AW174" s="38"/>
      <c r="AX174" s="38"/>
      <c r="AY174" s="38"/>
      <c r="AZ174" s="38"/>
      <c r="BA174" s="71"/>
      <c r="BB174" s="50"/>
      <c r="BD174" s="100"/>
      <c r="BE174" s="290"/>
    </row>
    <row r="175" spans="1:57" ht="12">
      <c r="A175" s="31" t="s">
        <v>86</v>
      </c>
      <c r="B175" s="31" t="s">
        <v>85</v>
      </c>
      <c r="C175" s="47">
        <f>SUM(C38+C49)*0.15+SUM(C38*0.02)</f>
        <v>653430</v>
      </c>
      <c r="D175" s="47">
        <f>SUM(D38+D49)*0.15</f>
        <v>0</v>
      </c>
      <c r="E175" s="47">
        <f t="shared" ref="E175:H175" si="180">SUM(E38+E49)*0.15</f>
        <v>0</v>
      </c>
      <c r="F175" s="47">
        <f t="shared" si="180"/>
        <v>0</v>
      </c>
      <c r="G175" s="47">
        <f t="shared" si="180"/>
        <v>0</v>
      </c>
      <c r="H175" s="47">
        <f t="shared" si="180"/>
        <v>0</v>
      </c>
      <c r="I175" s="71"/>
      <c r="J175" s="47">
        <f t="shared" ref="J175:AZ175" si="181">SUM(J38+J49)*0.15</f>
        <v>0</v>
      </c>
      <c r="K175" s="47">
        <f t="shared" si="181"/>
        <v>0</v>
      </c>
      <c r="L175" s="47">
        <f t="shared" si="181"/>
        <v>0</v>
      </c>
      <c r="M175" s="47">
        <f t="shared" si="181"/>
        <v>0</v>
      </c>
      <c r="N175" s="47"/>
      <c r="O175" s="47">
        <f t="shared" si="181"/>
        <v>0</v>
      </c>
      <c r="P175" s="47">
        <f t="shared" ref="P175" si="182">SUM(P38+P49)*0.15</f>
        <v>0</v>
      </c>
      <c r="Q175" s="47">
        <f t="shared" si="181"/>
        <v>0</v>
      </c>
      <c r="R175" s="47">
        <f t="shared" si="181"/>
        <v>0</v>
      </c>
      <c r="S175" s="47">
        <f t="shared" si="181"/>
        <v>0</v>
      </c>
      <c r="T175" s="47">
        <f t="shared" ref="T175:U175" si="183">SUM(T38+T49)*0.15</f>
        <v>0</v>
      </c>
      <c r="U175" s="47">
        <f t="shared" si="183"/>
        <v>0</v>
      </c>
      <c r="V175" s="47">
        <f t="shared" si="181"/>
        <v>0</v>
      </c>
      <c r="W175" s="47">
        <f t="shared" si="181"/>
        <v>0</v>
      </c>
      <c r="X175" s="47">
        <f t="shared" si="181"/>
        <v>0</v>
      </c>
      <c r="Y175" s="47">
        <f t="shared" si="181"/>
        <v>0</v>
      </c>
      <c r="Z175" s="47">
        <f t="shared" si="181"/>
        <v>0</v>
      </c>
      <c r="AA175" s="47">
        <f t="shared" si="181"/>
        <v>0</v>
      </c>
      <c r="AB175" s="47">
        <f t="shared" si="181"/>
        <v>0</v>
      </c>
      <c r="AC175" s="47">
        <f t="shared" si="181"/>
        <v>0</v>
      </c>
      <c r="AD175" s="47">
        <f t="shared" si="181"/>
        <v>0</v>
      </c>
      <c r="AE175" s="47">
        <f t="shared" si="181"/>
        <v>0</v>
      </c>
      <c r="AF175" s="47">
        <f t="shared" si="181"/>
        <v>0</v>
      </c>
      <c r="AG175" s="47">
        <f t="shared" si="181"/>
        <v>0</v>
      </c>
      <c r="AH175" s="47">
        <f t="shared" si="181"/>
        <v>0</v>
      </c>
      <c r="AI175" s="47">
        <f t="shared" si="181"/>
        <v>0</v>
      </c>
      <c r="AJ175" s="47">
        <f t="shared" si="181"/>
        <v>0</v>
      </c>
      <c r="AK175" s="47">
        <f t="shared" si="181"/>
        <v>0</v>
      </c>
      <c r="AL175" s="47">
        <f t="shared" si="181"/>
        <v>0</v>
      </c>
      <c r="AM175" s="47">
        <f t="shared" si="181"/>
        <v>0</v>
      </c>
      <c r="AN175" s="47">
        <f t="shared" si="181"/>
        <v>0</v>
      </c>
      <c r="AO175" s="71"/>
      <c r="AP175" s="47">
        <f t="shared" si="181"/>
        <v>0</v>
      </c>
      <c r="AQ175" s="47">
        <f t="shared" si="181"/>
        <v>0</v>
      </c>
      <c r="AR175" s="47">
        <f t="shared" si="181"/>
        <v>0</v>
      </c>
      <c r="AS175" s="47">
        <f t="shared" si="181"/>
        <v>0</v>
      </c>
      <c r="AT175" s="54">
        <f>SUM('AC-SVC'!O175)</f>
        <v>0</v>
      </c>
      <c r="AU175" s="47">
        <f t="shared" si="181"/>
        <v>0</v>
      </c>
      <c r="AV175" s="47">
        <f t="shared" si="181"/>
        <v>5062.5</v>
      </c>
      <c r="AW175" s="47">
        <f t="shared" si="181"/>
        <v>0</v>
      </c>
      <c r="AX175" s="47">
        <f t="shared" si="181"/>
        <v>0</v>
      </c>
      <c r="AY175" s="54">
        <f>SUM(FS!F175)</f>
        <v>0</v>
      </c>
      <c r="AZ175" s="47">
        <f t="shared" si="181"/>
        <v>0</v>
      </c>
      <c r="BA175" s="71"/>
      <c r="BB175" s="60">
        <f t="shared" ref="BB175:BB185" si="184">SUM(C175:H175)+SUM(AP175:AZ175)</f>
        <v>658492.5</v>
      </c>
      <c r="BD175" s="101">
        <v>475135.8</v>
      </c>
      <c r="BE175" s="288">
        <f>SUM(Sheet1!K175)</f>
        <v>575812.68679245282</v>
      </c>
    </row>
    <row r="176" spans="1:57" ht="12">
      <c r="A176" s="31" t="s">
        <v>91</v>
      </c>
      <c r="B176" s="31" t="s">
        <v>92</v>
      </c>
      <c r="C176" s="47"/>
      <c r="D176" s="47">
        <f t="shared" ref="D176:D185" si="185">SUM(J176:M176)</f>
        <v>0</v>
      </c>
      <c r="E176" s="64">
        <f t="shared" ref="E176:E185" si="186">SUM(O176:AI176)</f>
        <v>0</v>
      </c>
      <c r="F176" s="64">
        <f t="shared" ref="F176:F185" si="187">SUM(AJ176:AN176)</f>
        <v>0</v>
      </c>
      <c r="G176" s="47"/>
      <c r="H176" s="47"/>
      <c r="I176" s="71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67"/>
      <c r="AP176" s="54">
        <f>SUM('AC-SVC'!C176)*AP$7</f>
        <v>0</v>
      </c>
      <c r="AQ176" s="54">
        <f>SUM('AC-SVC'!D176)</f>
        <v>0</v>
      </c>
      <c r="AR176" s="54">
        <f>SUM('AC-SVC'!G176)</f>
        <v>0</v>
      </c>
      <c r="AS176" s="54">
        <f>SUM('AC-SVC'!J176)</f>
        <v>0</v>
      </c>
      <c r="AT176" s="54">
        <f>SUM('AC-SVC'!O176)</f>
        <v>0</v>
      </c>
      <c r="AU176" s="54">
        <f>SUM('AC-SVC'!P176)*AU$7</f>
        <v>0</v>
      </c>
      <c r="AV176" s="54">
        <f>SUM(PT!E176)</f>
        <v>0</v>
      </c>
      <c r="AW176" s="54">
        <f>SUM(FC!F176)</f>
        <v>0</v>
      </c>
      <c r="AX176" s="54">
        <v>0</v>
      </c>
      <c r="AY176" s="54">
        <f>SUM(FS!F176)</f>
        <v>0</v>
      </c>
      <c r="AZ176" s="54">
        <f>SUM(IT!F176)</f>
        <v>0</v>
      </c>
      <c r="BA176" s="80"/>
      <c r="BB176" s="60">
        <f t="shared" si="184"/>
        <v>0</v>
      </c>
      <c r="BD176" s="101">
        <v>847.46</v>
      </c>
      <c r="BE176" s="288">
        <v>0</v>
      </c>
    </row>
    <row r="177" spans="1:57" ht="12">
      <c r="A177" s="31" t="s">
        <v>93</v>
      </c>
      <c r="B177" s="31" t="s">
        <v>94</v>
      </c>
      <c r="C177" s="47"/>
      <c r="D177" s="47">
        <f t="shared" si="185"/>
        <v>0</v>
      </c>
      <c r="E177" s="64">
        <f t="shared" si="186"/>
        <v>0</v>
      </c>
      <c r="F177" s="64">
        <f t="shared" si="187"/>
        <v>0</v>
      </c>
      <c r="G177" s="47"/>
      <c r="H177" s="47"/>
      <c r="I177" s="71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67"/>
      <c r="AP177" s="54">
        <f>SUM('AC-SVC'!C177)*AP$7</f>
        <v>0</v>
      </c>
      <c r="AQ177" s="54">
        <f>SUM('AC-SVC'!D177)</f>
        <v>0</v>
      </c>
      <c r="AR177" s="54">
        <f>SUM('AC-SVC'!G177)</f>
        <v>0</v>
      </c>
      <c r="AS177" s="54">
        <f>SUM('AC-SVC'!J177)</f>
        <v>0</v>
      </c>
      <c r="AT177" s="54">
        <f>SUM('AC-SVC'!O177)</f>
        <v>0</v>
      </c>
      <c r="AU177" s="54">
        <f>SUM('AC-SVC'!P177)*AU$7</f>
        <v>0</v>
      </c>
      <c r="AV177" s="54">
        <f>SUM(PT!E177)</f>
        <v>0</v>
      </c>
      <c r="AW177" s="54">
        <f>SUM(FC!F177)</f>
        <v>30000</v>
      </c>
      <c r="AX177" s="54">
        <v>0</v>
      </c>
      <c r="AY177" s="54">
        <f>SUM(FS!F177)</f>
        <v>0</v>
      </c>
      <c r="AZ177" s="54">
        <f>SUM(IT!F177)</f>
        <v>0</v>
      </c>
      <c r="BA177" s="80"/>
      <c r="BB177" s="60">
        <f t="shared" si="184"/>
        <v>30000</v>
      </c>
      <c r="BD177" s="101"/>
      <c r="BE177" s="288">
        <f>SUM(Sheet1!K177)</f>
        <v>0</v>
      </c>
    </row>
    <row r="178" spans="1:57" ht="12">
      <c r="A178" s="31" t="s">
        <v>95</v>
      </c>
      <c r="B178" s="31" t="s">
        <v>405</v>
      </c>
      <c r="C178" s="47"/>
      <c r="D178" s="47">
        <f t="shared" si="185"/>
        <v>0</v>
      </c>
      <c r="E178" s="64">
        <f t="shared" si="186"/>
        <v>0</v>
      </c>
      <c r="F178" s="64">
        <f t="shared" si="187"/>
        <v>0</v>
      </c>
      <c r="G178" s="47"/>
      <c r="H178" s="47"/>
      <c r="I178" s="71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>
        <v>0</v>
      </c>
      <c r="AM178" s="47"/>
      <c r="AN178" s="47"/>
      <c r="AO178" s="67"/>
      <c r="AP178" s="54">
        <f>SUM('AC-SVC'!C178)*AP$7</f>
        <v>0</v>
      </c>
      <c r="AQ178" s="54">
        <f>SUM('AC-SVC'!D178)</f>
        <v>0</v>
      </c>
      <c r="AR178" s="54">
        <f>SUM('AC-SVC'!G178)</f>
        <v>0</v>
      </c>
      <c r="AS178" s="54">
        <f>SUM('AC-SVC'!J178)</f>
        <v>0</v>
      </c>
      <c r="AT178" s="54">
        <f>SUM('AC-SVC'!O178)</f>
        <v>0</v>
      </c>
      <c r="AU178" s="54">
        <f>SUM('AC-SVC'!P178)*AU$7</f>
        <v>0</v>
      </c>
      <c r="AV178" s="54">
        <f>SUM(PT!E178)</f>
        <v>0</v>
      </c>
      <c r="AW178" s="54">
        <f>SUM(FC!F178)</f>
        <v>0</v>
      </c>
      <c r="AX178" s="54">
        <v>0</v>
      </c>
      <c r="AY178" s="54">
        <f>SUM(FS!F178)</f>
        <v>51500</v>
      </c>
      <c r="AZ178" s="54">
        <f>SUM(IT!F178)</f>
        <v>0</v>
      </c>
      <c r="BA178" s="80"/>
      <c r="BB178" s="60">
        <f t="shared" si="184"/>
        <v>51500</v>
      </c>
      <c r="BD178" s="101"/>
      <c r="BE178" s="288">
        <f>SUM(Sheet1!K178)</f>
        <v>0</v>
      </c>
    </row>
    <row r="179" spans="1:57" ht="12">
      <c r="A179" s="31" t="s">
        <v>96</v>
      </c>
      <c r="B179" s="31" t="s">
        <v>404</v>
      </c>
      <c r="C179" s="47"/>
      <c r="D179" s="47">
        <f t="shared" si="185"/>
        <v>0</v>
      </c>
      <c r="E179" s="64">
        <f t="shared" si="186"/>
        <v>0</v>
      </c>
      <c r="F179" s="64">
        <f t="shared" si="187"/>
        <v>0</v>
      </c>
      <c r="G179" s="47"/>
      <c r="H179" s="47"/>
      <c r="I179" s="71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67"/>
      <c r="AP179" s="54">
        <f>SUM('AC-SVC'!C179)*AP$7</f>
        <v>0</v>
      </c>
      <c r="AQ179" s="54">
        <f>SUM('AC-SVC'!D179)</f>
        <v>0</v>
      </c>
      <c r="AR179" s="54">
        <f>SUM('AC-SVC'!G179)</f>
        <v>0</v>
      </c>
      <c r="AS179" s="54">
        <f>SUM('AC-SVC'!J179)</f>
        <v>0</v>
      </c>
      <c r="AT179" s="54">
        <f>SUM('AC-SVC'!O179)</f>
        <v>0</v>
      </c>
      <c r="AU179" s="54">
        <f>SUM('AC-SVC'!P179)*AU$7</f>
        <v>0</v>
      </c>
      <c r="AV179" s="54">
        <f>SUM(PT!E179)</f>
        <v>0</v>
      </c>
      <c r="AW179" s="54">
        <f>SUM(FC!F179)</f>
        <v>15000</v>
      </c>
      <c r="AX179" s="54">
        <v>0</v>
      </c>
      <c r="AY179" s="54">
        <f>SUM(FS!F179)</f>
        <v>0</v>
      </c>
      <c r="AZ179" s="54">
        <f>SUM(IT!F179)</f>
        <v>0</v>
      </c>
      <c r="BA179" s="80"/>
      <c r="BB179" s="60">
        <f t="shared" si="184"/>
        <v>15000</v>
      </c>
      <c r="BD179" s="101"/>
      <c r="BE179" s="288">
        <f>+BB179</f>
        <v>15000</v>
      </c>
    </row>
    <row r="180" spans="1:57" ht="12">
      <c r="A180" s="31" t="s">
        <v>98</v>
      </c>
      <c r="B180" s="31" t="s">
        <v>99</v>
      </c>
      <c r="C180" s="47"/>
      <c r="D180" s="47">
        <f t="shared" si="185"/>
        <v>0</v>
      </c>
      <c r="E180" s="64">
        <f t="shared" si="186"/>
        <v>0</v>
      </c>
      <c r="F180" s="64">
        <f t="shared" si="187"/>
        <v>0</v>
      </c>
      <c r="G180" s="47"/>
      <c r="H180" s="47"/>
      <c r="I180" s="71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67"/>
      <c r="AP180" s="54">
        <f>SUM('AC-SVC'!C180)*AP$7</f>
        <v>0</v>
      </c>
      <c r="AQ180" s="54">
        <f>SUM('AC-SVC'!D180)</f>
        <v>0</v>
      </c>
      <c r="AR180" s="54">
        <f>SUM('AC-SVC'!G180)</f>
        <v>0</v>
      </c>
      <c r="AS180" s="54">
        <f>SUM('AC-SVC'!J180)</f>
        <v>0</v>
      </c>
      <c r="AT180" s="54">
        <f>SUM('AC-SVC'!O180)</f>
        <v>0</v>
      </c>
      <c r="AU180" s="54">
        <f>SUM('AC-SVC'!P180)*AU$7</f>
        <v>0</v>
      </c>
      <c r="AV180" s="54">
        <f>SUM(PT!E180)</f>
        <v>0</v>
      </c>
      <c r="AW180" s="54">
        <f>SUM(FC!F180)</f>
        <v>0</v>
      </c>
      <c r="AX180" s="54">
        <v>0</v>
      </c>
      <c r="AY180" s="54">
        <f>SUM(FS!F180)</f>
        <v>0</v>
      </c>
      <c r="AZ180" s="54">
        <f>SUM(IT!F180)</f>
        <v>0</v>
      </c>
      <c r="BA180" s="80"/>
      <c r="BB180" s="60">
        <f t="shared" si="184"/>
        <v>0</v>
      </c>
      <c r="BD180" s="101"/>
      <c r="BE180" s="288">
        <f>SUM(Sheet1!K180)</f>
        <v>0</v>
      </c>
    </row>
    <row r="181" spans="1:57" ht="12">
      <c r="A181" s="31" t="s">
        <v>100</v>
      </c>
      <c r="B181" s="31" t="s">
        <v>284</v>
      </c>
      <c r="C181" s="47"/>
      <c r="D181" s="47">
        <f t="shared" si="185"/>
        <v>0</v>
      </c>
      <c r="E181" s="64">
        <f t="shared" si="186"/>
        <v>0</v>
      </c>
      <c r="F181" s="64">
        <f t="shared" si="187"/>
        <v>0</v>
      </c>
      <c r="G181" s="47"/>
      <c r="H181" s="47"/>
      <c r="I181" s="71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67"/>
      <c r="AP181" s="54">
        <f>SUM('AC-SVC'!C181)*AP$7</f>
        <v>0</v>
      </c>
      <c r="AQ181" s="54">
        <f>SUM('AC-SVC'!D181)</f>
        <v>0</v>
      </c>
      <c r="AR181" s="54">
        <f>SUM('AC-SVC'!G181)</f>
        <v>0</v>
      </c>
      <c r="AS181" s="54">
        <f>SUM('AC-SVC'!J181)</f>
        <v>0</v>
      </c>
      <c r="AT181" s="54">
        <f>SUM('AC-SVC'!O181)</f>
        <v>0</v>
      </c>
      <c r="AU181" s="54">
        <f>SUM('AC-SVC'!P181)*AU$7</f>
        <v>0</v>
      </c>
      <c r="AV181" s="54">
        <f>SUM(PT!E181)</f>
        <v>0</v>
      </c>
      <c r="AW181" s="54">
        <f>SUM(FC!F181)</f>
        <v>0</v>
      </c>
      <c r="AX181" s="54">
        <v>0</v>
      </c>
      <c r="AY181" s="54">
        <f>SUM(FS!F181)</f>
        <v>0</v>
      </c>
      <c r="AZ181" s="54">
        <f>SUM(IT!F181)</f>
        <v>0</v>
      </c>
      <c r="BA181" s="80"/>
      <c r="BB181" s="60">
        <f t="shared" si="184"/>
        <v>0</v>
      </c>
      <c r="BD181" s="101">
        <v>4914</v>
      </c>
      <c r="BE181" s="288">
        <f>SUM(Sheet1!K181)</f>
        <v>7377.1698113207549</v>
      </c>
    </row>
    <row r="182" spans="1:57" ht="12">
      <c r="A182" s="31" t="s">
        <v>101</v>
      </c>
      <c r="B182" s="31" t="s">
        <v>102</v>
      </c>
      <c r="C182" s="47"/>
      <c r="D182" s="47">
        <f t="shared" si="185"/>
        <v>0</v>
      </c>
      <c r="E182" s="64">
        <f t="shared" si="186"/>
        <v>0</v>
      </c>
      <c r="F182" s="64">
        <f t="shared" si="187"/>
        <v>0</v>
      </c>
      <c r="G182" s="47"/>
      <c r="H182" s="47"/>
      <c r="I182" s="71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67"/>
      <c r="AP182" s="54">
        <f>SUM('AC-SVC'!C182)*AP$7</f>
        <v>0</v>
      </c>
      <c r="AQ182" s="54">
        <f>SUM('AC-SVC'!D182)</f>
        <v>0</v>
      </c>
      <c r="AR182" s="54">
        <f>SUM('AC-SVC'!G182)</f>
        <v>0</v>
      </c>
      <c r="AS182" s="54">
        <f>SUM('AC-SVC'!J182)</f>
        <v>0</v>
      </c>
      <c r="AT182" s="54">
        <f>SUM('AC-SVC'!O182)</f>
        <v>0</v>
      </c>
      <c r="AU182" s="54">
        <f>SUM('AC-SVC'!P182)*AU$7</f>
        <v>0</v>
      </c>
      <c r="AV182" s="54">
        <f>SUM(PT!E182)</f>
        <v>0</v>
      </c>
      <c r="AW182" s="54">
        <f>SUM(FC!F182)</f>
        <v>0</v>
      </c>
      <c r="AX182" s="54">
        <v>0</v>
      </c>
      <c r="AY182" s="54">
        <f>SUM(FS!F182)</f>
        <v>0</v>
      </c>
      <c r="AZ182" s="54">
        <f>SUM(IT!F182)</f>
        <v>0</v>
      </c>
      <c r="BA182" s="80"/>
      <c r="BB182" s="60">
        <f t="shared" si="184"/>
        <v>0</v>
      </c>
      <c r="BD182" s="101"/>
      <c r="BE182" s="288">
        <f>SUM(Sheet1!K182)</f>
        <v>0</v>
      </c>
    </row>
    <row r="183" spans="1:57" ht="12">
      <c r="A183" s="31" t="s">
        <v>105</v>
      </c>
      <c r="B183" s="31" t="s">
        <v>167</v>
      </c>
      <c r="C183" s="47">
        <v>33333</v>
      </c>
      <c r="D183" s="47">
        <f t="shared" si="185"/>
        <v>0</v>
      </c>
      <c r="E183" s="64">
        <f t="shared" si="186"/>
        <v>0</v>
      </c>
      <c r="F183" s="64">
        <f t="shared" si="187"/>
        <v>0</v>
      </c>
      <c r="G183" s="47"/>
      <c r="H183" s="47"/>
      <c r="I183" s="71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67"/>
      <c r="AP183" s="54">
        <f>SUM('AC-SVC'!C183)*AP$7</f>
        <v>0</v>
      </c>
      <c r="AQ183" s="54">
        <f>SUM('AC-SVC'!D183)</f>
        <v>0</v>
      </c>
      <c r="AR183" s="54">
        <f>SUM('AC-SVC'!G183)</f>
        <v>0</v>
      </c>
      <c r="AS183" s="54">
        <f>SUM('AC-SVC'!J183)</f>
        <v>0</v>
      </c>
      <c r="AT183" s="54">
        <f>SUM('AC-SVC'!O183)</f>
        <v>0</v>
      </c>
      <c r="AU183" s="54">
        <f>SUM('AC-SVC'!P183)*AU$7</f>
        <v>0</v>
      </c>
      <c r="AV183" s="54">
        <f>SUM(PT!E183)</f>
        <v>0</v>
      </c>
      <c r="AW183" s="54">
        <f>SUM(FC!F183)</f>
        <v>0</v>
      </c>
      <c r="AX183" s="54">
        <v>0</v>
      </c>
      <c r="AY183" s="54">
        <f>SUM(FS!F183)</f>
        <v>0</v>
      </c>
      <c r="AZ183" s="54">
        <f>SUM(IT!F183)</f>
        <v>0</v>
      </c>
      <c r="BA183" s="80"/>
      <c r="BB183" s="60">
        <f t="shared" si="184"/>
        <v>33333</v>
      </c>
      <c r="BD183" s="101"/>
      <c r="BE183" s="288">
        <v>33333</v>
      </c>
    </row>
    <row r="184" spans="1:57" ht="12">
      <c r="A184" s="31" t="s">
        <v>106</v>
      </c>
      <c r="B184" s="31" t="s">
        <v>107</v>
      </c>
      <c r="C184" s="47"/>
      <c r="D184" s="47">
        <f t="shared" ref="D184" si="188">SUM(J184:M184)</f>
        <v>0</v>
      </c>
      <c r="E184" s="64">
        <f t="shared" si="186"/>
        <v>0</v>
      </c>
      <c r="F184" s="64">
        <f t="shared" si="187"/>
        <v>0</v>
      </c>
      <c r="G184" s="47"/>
      <c r="H184" s="47"/>
      <c r="I184" s="71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67"/>
      <c r="AP184" s="54">
        <f>SUM('AC-SVC'!C184)*AP$7</f>
        <v>0</v>
      </c>
      <c r="AQ184" s="54">
        <f>SUM('AC-SVC'!D184)</f>
        <v>0</v>
      </c>
      <c r="AR184" s="54">
        <f>SUM('AC-SVC'!G184)</f>
        <v>0</v>
      </c>
      <c r="AS184" s="54">
        <f>SUM('AC-SVC'!J184)</f>
        <v>0</v>
      </c>
      <c r="AT184" s="54">
        <f>SUM('AC-SVC'!O184)</f>
        <v>0</v>
      </c>
      <c r="AU184" s="54">
        <f>SUM('AC-SVC'!P184)*AU$7</f>
        <v>0</v>
      </c>
      <c r="AV184" s="54">
        <f>SUM(PT!E184)</f>
        <v>0</v>
      </c>
      <c r="AW184" s="54">
        <f>SUM(FC!F184)</f>
        <v>650</v>
      </c>
      <c r="AX184" s="54">
        <v>0</v>
      </c>
      <c r="AY184" s="54">
        <f>SUM(FS!F184)</f>
        <v>0</v>
      </c>
      <c r="AZ184" s="54">
        <f>SUM(IT!F184)</f>
        <v>0</v>
      </c>
      <c r="BA184" s="80"/>
      <c r="BB184" s="60">
        <f t="shared" si="184"/>
        <v>650</v>
      </c>
      <c r="BD184" s="101">
        <v>1957.43</v>
      </c>
      <c r="BE184" s="288">
        <f>SUM(Sheet1!K184)</f>
        <v>2060.5018867924528</v>
      </c>
    </row>
    <row r="185" spans="1:57" ht="12">
      <c r="A185" s="31" t="s">
        <v>428</v>
      </c>
      <c r="B185" s="31" t="s">
        <v>429</v>
      </c>
      <c r="C185" s="48"/>
      <c r="D185" s="48">
        <f t="shared" si="185"/>
        <v>0</v>
      </c>
      <c r="E185" s="48">
        <f t="shared" si="186"/>
        <v>0</v>
      </c>
      <c r="F185" s="48">
        <f t="shared" si="187"/>
        <v>0</v>
      </c>
      <c r="G185" s="48">
        <v>7000</v>
      </c>
      <c r="H185" s="48"/>
      <c r="I185" s="73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67"/>
      <c r="AP185" s="39">
        <f>SUM('AC-SVC'!C185)*AP$7</f>
        <v>0</v>
      </c>
      <c r="AQ185" s="39">
        <f>SUM('AC-SVC'!D185)</f>
        <v>0</v>
      </c>
      <c r="AR185" s="39">
        <f>SUM('AC-SVC'!G185)</f>
        <v>0</v>
      </c>
      <c r="AS185" s="39">
        <f>SUM('AC-SVC'!J185)</f>
        <v>0</v>
      </c>
      <c r="AT185" s="39">
        <f>SUM('AC-SVC'!O185)</f>
        <v>0</v>
      </c>
      <c r="AU185" s="39">
        <f>SUM('AC-SVC'!P185)*AU$7</f>
        <v>0</v>
      </c>
      <c r="AV185" s="39">
        <f>SUM(PT!E185)</f>
        <v>0</v>
      </c>
      <c r="AW185" s="39">
        <f>SUM(FC!F185)</f>
        <v>1000</v>
      </c>
      <c r="AX185" s="39">
        <v>0</v>
      </c>
      <c r="AY185" s="39">
        <f>SUM(FS!F185)</f>
        <v>0</v>
      </c>
      <c r="AZ185" s="39">
        <f>SUM(IT!F185)</f>
        <v>0</v>
      </c>
      <c r="BA185" s="73"/>
      <c r="BB185" s="59">
        <f t="shared" si="184"/>
        <v>8000</v>
      </c>
      <c r="BD185" s="102"/>
      <c r="BE185" s="288">
        <f>SUM(Sheet1!K185)</f>
        <v>177.09056603773584</v>
      </c>
    </row>
    <row r="186" spans="1:57" ht="10">
      <c r="B186" s="31" t="s">
        <v>168</v>
      </c>
      <c r="C186" s="47">
        <f>SUM(C175:C185)</f>
        <v>686763</v>
      </c>
      <c r="D186" s="47">
        <f t="shared" ref="D186:H186" si="189">SUM(D175:D185)</f>
        <v>0</v>
      </c>
      <c r="E186" s="47">
        <f t="shared" si="189"/>
        <v>0</v>
      </c>
      <c r="F186" s="47">
        <f t="shared" si="189"/>
        <v>0</v>
      </c>
      <c r="G186" s="47">
        <f t="shared" si="189"/>
        <v>7000</v>
      </c>
      <c r="H186" s="47">
        <f t="shared" si="189"/>
        <v>0</v>
      </c>
      <c r="I186" s="71"/>
      <c r="J186" s="47">
        <f t="shared" ref="J186:AN186" si="190">SUM(J175:J185)</f>
        <v>0</v>
      </c>
      <c r="K186" s="47">
        <f t="shared" si="190"/>
        <v>0</v>
      </c>
      <c r="L186" s="47">
        <f t="shared" si="190"/>
        <v>0</v>
      </c>
      <c r="M186" s="47">
        <f t="shared" si="190"/>
        <v>0</v>
      </c>
      <c r="N186" s="47"/>
      <c r="O186" s="47">
        <f t="shared" si="190"/>
        <v>0</v>
      </c>
      <c r="P186" s="47">
        <f t="shared" ref="P186" si="191">SUM(P175:P185)</f>
        <v>0</v>
      </c>
      <c r="Q186" s="47">
        <f t="shared" si="190"/>
        <v>0</v>
      </c>
      <c r="R186" s="47">
        <f t="shared" si="190"/>
        <v>0</v>
      </c>
      <c r="S186" s="47">
        <f t="shared" si="190"/>
        <v>0</v>
      </c>
      <c r="T186" s="47">
        <f t="shared" ref="T186:U186" si="192">SUM(T175:T185)</f>
        <v>0</v>
      </c>
      <c r="U186" s="47">
        <f t="shared" si="192"/>
        <v>0</v>
      </c>
      <c r="V186" s="47">
        <f t="shared" si="190"/>
        <v>0</v>
      </c>
      <c r="W186" s="47">
        <f t="shared" si="190"/>
        <v>0</v>
      </c>
      <c r="X186" s="47">
        <f t="shared" si="190"/>
        <v>0</v>
      </c>
      <c r="Y186" s="47">
        <f t="shared" si="190"/>
        <v>0</v>
      </c>
      <c r="Z186" s="47">
        <f t="shared" si="190"/>
        <v>0</v>
      </c>
      <c r="AA186" s="47">
        <f t="shared" si="190"/>
        <v>0</v>
      </c>
      <c r="AB186" s="47">
        <f t="shared" si="190"/>
        <v>0</v>
      </c>
      <c r="AC186" s="47">
        <f t="shared" si="190"/>
        <v>0</v>
      </c>
      <c r="AD186" s="47">
        <f t="shared" si="190"/>
        <v>0</v>
      </c>
      <c r="AE186" s="47">
        <f t="shared" si="190"/>
        <v>0</v>
      </c>
      <c r="AF186" s="47">
        <f t="shared" si="190"/>
        <v>0</v>
      </c>
      <c r="AG186" s="47">
        <f t="shared" si="190"/>
        <v>0</v>
      </c>
      <c r="AH186" s="47">
        <f t="shared" si="190"/>
        <v>0</v>
      </c>
      <c r="AI186" s="47">
        <f t="shared" si="190"/>
        <v>0</v>
      </c>
      <c r="AJ186" s="47">
        <f t="shared" si="190"/>
        <v>0</v>
      </c>
      <c r="AK186" s="47">
        <f t="shared" si="190"/>
        <v>0</v>
      </c>
      <c r="AL186" s="47">
        <f t="shared" si="190"/>
        <v>0</v>
      </c>
      <c r="AM186" s="47">
        <f t="shared" ref="AM186" si="193">SUM(AM175:AM185)</f>
        <v>0</v>
      </c>
      <c r="AN186" s="47">
        <f t="shared" si="190"/>
        <v>0</v>
      </c>
      <c r="AO186" s="67"/>
      <c r="AP186" s="38">
        <f t="shared" ref="AP186:AZ186" si="194">SUM(AP175:AP185)</f>
        <v>0</v>
      </c>
      <c r="AQ186" s="38">
        <f t="shared" si="194"/>
        <v>0</v>
      </c>
      <c r="AR186" s="38">
        <f t="shared" si="194"/>
        <v>0</v>
      </c>
      <c r="AS186" s="38">
        <f t="shared" si="194"/>
        <v>0</v>
      </c>
      <c r="AT186" s="38">
        <f t="shared" si="194"/>
        <v>0</v>
      </c>
      <c r="AU186" s="38">
        <f t="shared" si="194"/>
        <v>0</v>
      </c>
      <c r="AV186" s="38">
        <f t="shared" si="194"/>
        <v>5062.5</v>
      </c>
      <c r="AW186" s="38">
        <f t="shared" si="194"/>
        <v>46650</v>
      </c>
      <c r="AX186" s="38">
        <f t="shared" si="194"/>
        <v>0</v>
      </c>
      <c r="AY186" s="38">
        <f t="shared" si="194"/>
        <v>51500</v>
      </c>
      <c r="AZ186" s="38">
        <f t="shared" si="194"/>
        <v>0</v>
      </c>
      <c r="BA186" s="71"/>
      <c r="BB186" s="50">
        <f>SUM(BB175:BB185)</f>
        <v>796975.5</v>
      </c>
      <c r="BD186" s="100">
        <f>SUM(BD175:BD185)</f>
        <v>482854.69</v>
      </c>
      <c r="BE186" s="293">
        <f>SUM(BE175:BE185)</f>
        <v>633760.44905660371</v>
      </c>
    </row>
    <row r="187" spans="1:57">
      <c r="C187" s="42"/>
      <c r="D187" s="42"/>
      <c r="E187" s="42"/>
      <c r="F187" s="42"/>
      <c r="G187" s="42"/>
      <c r="H187" s="42"/>
      <c r="I187" s="75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67"/>
      <c r="AP187" s="38"/>
      <c r="AQ187" s="47"/>
      <c r="AR187" s="38"/>
      <c r="AS187" s="38"/>
      <c r="AT187" s="38"/>
      <c r="AU187" s="38"/>
      <c r="AV187" s="38"/>
      <c r="AW187" s="38"/>
      <c r="AX187" s="38"/>
      <c r="AY187" s="38"/>
      <c r="AZ187" s="38"/>
      <c r="BA187" s="71"/>
      <c r="BB187" s="50"/>
      <c r="BD187" s="100"/>
      <c r="BE187" s="290"/>
    </row>
    <row r="188" spans="1:57" s="30" customFormat="1" ht="12">
      <c r="A188" s="35"/>
      <c r="B188" s="35" t="s">
        <v>169</v>
      </c>
      <c r="C188" s="44">
        <f t="shared" ref="C188:H188" si="195">+C122+C133+C141+C150+C155+C171+C186</f>
        <v>1375468</v>
      </c>
      <c r="D188" s="44">
        <f t="shared" si="195"/>
        <v>4800</v>
      </c>
      <c r="E188" s="44">
        <f t="shared" si="195"/>
        <v>71400</v>
      </c>
      <c r="F188" s="44">
        <f t="shared" si="195"/>
        <v>7375</v>
      </c>
      <c r="G188" s="44">
        <f t="shared" si="195"/>
        <v>9220</v>
      </c>
      <c r="H188" s="44">
        <f t="shared" si="195"/>
        <v>1930</v>
      </c>
      <c r="I188" s="76"/>
      <c r="J188" s="50">
        <f t="shared" ref="J188:AI188" si="196">+J122+J133+J141+J150+J155+J171+J186</f>
        <v>1200</v>
      </c>
      <c r="K188" s="50">
        <f t="shared" si="196"/>
        <v>1200</v>
      </c>
      <c r="L188" s="50">
        <f t="shared" si="196"/>
        <v>1200</v>
      </c>
      <c r="M188" s="50">
        <f t="shared" si="196"/>
        <v>1200</v>
      </c>
      <c r="N188" s="50"/>
      <c r="O188" s="50">
        <f t="shared" si="196"/>
        <v>1200</v>
      </c>
      <c r="P188" s="50">
        <f t="shared" ref="P188" si="197">+P122+P133+P141+P150+P155+P171+P186</f>
        <v>1200</v>
      </c>
      <c r="Q188" s="50">
        <f t="shared" si="196"/>
        <v>1200</v>
      </c>
      <c r="R188" s="50">
        <f t="shared" si="196"/>
        <v>1050</v>
      </c>
      <c r="S188" s="50">
        <f t="shared" si="196"/>
        <v>1200</v>
      </c>
      <c r="T188" s="50">
        <f t="shared" ref="T188:U188" si="198">+T122+T133+T141+T150+T155+T171+T186</f>
        <v>1000</v>
      </c>
      <c r="U188" s="50">
        <f t="shared" si="198"/>
        <v>1000</v>
      </c>
      <c r="V188" s="50">
        <f t="shared" si="196"/>
        <v>1000</v>
      </c>
      <c r="W188" s="50">
        <f t="shared" si="196"/>
        <v>1200</v>
      </c>
      <c r="X188" s="50">
        <f t="shared" si="196"/>
        <v>1200</v>
      </c>
      <c r="Y188" s="50">
        <f t="shared" si="196"/>
        <v>0</v>
      </c>
      <c r="Z188" s="50">
        <f t="shared" si="196"/>
        <v>570</v>
      </c>
      <c r="AA188" s="50">
        <f t="shared" si="196"/>
        <v>1200</v>
      </c>
      <c r="AB188" s="50">
        <f t="shared" si="196"/>
        <v>315</v>
      </c>
      <c r="AC188" s="50">
        <f t="shared" si="196"/>
        <v>1100</v>
      </c>
      <c r="AD188" s="50">
        <f t="shared" si="196"/>
        <v>315</v>
      </c>
      <c r="AE188" s="50">
        <f t="shared" si="196"/>
        <v>1700</v>
      </c>
      <c r="AF188" s="50">
        <f t="shared" si="196"/>
        <v>53250</v>
      </c>
      <c r="AG188" s="50">
        <f t="shared" si="196"/>
        <v>1200</v>
      </c>
      <c r="AH188" s="50">
        <f t="shared" si="196"/>
        <v>0</v>
      </c>
      <c r="AI188" s="50">
        <f t="shared" si="196"/>
        <v>500</v>
      </c>
      <c r="AJ188" s="50">
        <f t="shared" ref="AJ188:AN188" si="199">+AJ122+AJ133+AJ141+AJ150+AJ155+AJ171+AJ186</f>
        <v>1175</v>
      </c>
      <c r="AK188" s="50">
        <f t="shared" si="199"/>
        <v>1175</v>
      </c>
      <c r="AL188" s="50">
        <f t="shared" si="199"/>
        <v>2675</v>
      </c>
      <c r="AM188" s="50">
        <f t="shared" ref="AM188" si="200">+AM122+AM133+AM141+AM150+AM155+AM171+AM186</f>
        <v>1175</v>
      </c>
      <c r="AN188" s="50">
        <f t="shared" si="199"/>
        <v>1175</v>
      </c>
      <c r="AO188" s="70"/>
      <c r="AP188" s="40">
        <f t="shared" ref="AP188:AT188" si="201">+AP122+AP133+AP141+AP150+AP155+AP171+AP186</f>
        <v>0</v>
      </c>
      <c r="AQ188" s="50">
        <f t="shared" si="201"/>
        <v>3120</v>
      </c>
      <c r="AR188" s="40">
        <f t="shared" si="201"/>
        <v>40795</v>
      </c>
      <c r="AS188" s="40">
        <f t="shared" si="201"/>
        <v>2820</v>
      </c>
      <c r="AT188" s="40">
        <f t="shared" si="201"/>
        <v>8199</v>
      </c>
      <c r="AU188" s="40">
        <f t="shared" ref="AU188" si="202">+AU122+AU133+AU141+AU150+AU155+AU171+AU186</f>
        <v>0</v>
      </c>
      <c r="AV188" s="40">
        <f>+AV122+AV133+AV141+AV150+AV155+AV171+AV186</f>
        <v>14062.5</v>
      </c>
      <c r="AW188" s="40">
        <f>+AW122+AW133+AW141+AW150+AW155+AW171+AW186</f>
        <v>607951.65625</v>
      </c>
      <c r="AX188" s="40">
        <f t="shared" ref="AX188" si="203">+AX122+AX133+AX141+AX150+AX155+AX171+AX186</f>
        <v>0</v>
      </c>
      <c r="AY188" s="40">
        <f>+AY122+AY133+AY141+AY150+AY155+AY171+AY186</f>
        <v>201746.32653061225</v>
      </c>
      <c r="AZ188" s="40">
        <f>+AZ122+AZ133+AZ141+AZ150+AZ155+AZ171+AZ186</f>
        <v>158989</v>
      </c>
      <c r="BA188" s="74"/>
      <c r="BB188" s="50">
        <f t="shared" ref="BB188" si="204">+BB122+BB133+BB141+BB150+BB155+BB171+BB186</f>
        <v>2507876.4827806121</v>
      </c>
      <c r="BD188" s="100">
        <f t="shared" ref="BD188" si="205">SUM(BD122+BD133+BD141+BD150+BD155+BD171+BD186)</f>
        <v>1686047.5999999999</v>
      </c>
      <c r="BE188" s="280">
        <f>SUM(BE122+BE133+BE141+BE150+BE155+BE171+BE186)</f>
        <v>2259907.9805660378</v>
      </c>
    </row>
    <row r="189" spans="1:57" ht="12">
      <c r="C189" s="42"/>
      <c r="D189" s="42"/>
      <c r="E189" s="42"/>
      <c r="F189" s="42"/>
      <c r="G189" s="42"/>
      <c r="H189" s="42"/>
      <c r="I189" s="75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67"/>
      <c r="AP189" s="38"/>
      <c r="AQ189" s="47"/>
      <c r="AR189" s="38"/>
      <c r="AS189" s="38"/>
      <c r="AT189" s="38"/>
      <c r="AU189" s="38"/>
      <c r="AV189" s="38"/>
      <c r="AW189" s="38"/>
      <c r="AX189" s="38"/>
      <c r="AY189" s="38"/>
      <c r="AZ189" s="38"/>
      <c r="BA189" s="71"/>
      <c r="BB189" s="50"/>
      <c r="BD189" s="100"/>
      <c r="BE189" s="291"/>
    </row>
    <row r="190" spans="1:57" ht="12">
      <c r="B190" s="35" t="s">
        <v>435</v>
      </c>
      <c r="C190" s="47">
        <f>SUM(C104+C188)</f>
        <v>1395968</v>
      </c>
      <c r="D190" s="47">
        <f t="shared" ref="D190:H190" si="206">SUM(D104+D188)</f>
        <v>337018.25926327257</v>
      </c>
      <c r="E190" s="47">
        <f t="shared" si="206"/>
        <v>1327914.0068835397</v>
      </c>
      <c r="F190" s="47">
        <f t="shared" si="206"/>
        <v>298350.06143496901</v>
      </c>
      <c r="G190" s="47">
        <f t="shared" si="206"/>
        <v>167463.36786351999</v>
      </c>
      <c r="H190" s="47">
        <f t="shared" si="206"/>
        <v>121124.96928637281</v>
      </c>
      <c r="I190" s="71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67"/>
      <c r="AP190" s="47">
        <f>SUM(AP104+AP188)</f>
        <v>0</v>
      </c>
      <c r="AQ190" s="47">
        <f t="shared" ref="AQ190:AZ190" si="207">SUM(AQ104+AQ188)</f>
        <v>71005.095799999996</v>
      </c>
      <c r="AR190" s="47">
        <f t="shared" si="207"/>
        <v>66926.192856731795</v>
      </c>
      <c r="AS190" s="47">
        <f t="shared" si="207"/>
        <v>65825.01318400001</v>
      </c>
      <c r="AT190" s="47">
        <f t="shared" si="207"/>
        <v>13079.8951304</v>
      </c>
      <c r="AU190" s="47">
        <f t="shared" ref="AU190" si="208">SUM(AU104+AU188)</f>
        <v>0</v>
      </c>
      <c r="AV190" s="47">
        <f t="shared" si="207"/>
        <v>35665.311576</v>
      </c>
      <c r="AW190" s="47">
        <f t="shared" si="207"/>
        <v>787774.89945000003</v>
      </c>
      <c r="AX190" s="47">
        <f t="shared" si="207"/>
        <v>0</v>
      </c>
      <c r="AY190" s="47">
        <f t="shared" si="207"/>
        <v>321200.62413600885</v>
      </c>
      <c r="AZ190" s="47">
        <f t="shared" si="207"/>
        <v>158989</v>
      </c>
      <c r="BA190" s="71"/>
      <c r="BB190" s="50">
        <f>SUM(BB104+BB188)</f>
        <v>5168304.6968648154</v>
      </c>
      <c r="BD190" s="100">
        <f t="shared" ref="BD190" si="209">SUM(BD104+BD188)</f>
        <v>3204861.8099999996</v>
      </c>
      <c r="BE190" s="280">
        <f>SUM(BE188+BE104)</f>
        <v>4638944.5739686368</v>
      </c>
    </row>
    <row r="191" spans="1:57" s="30" customFormat="1" ht="12">
      <c r="A191" s="31"/>
      <c r="B191" s="31"/>
      <c r="C191" s="42"/>
      <c r="D191" s="42"/>
      <c r="E191" s="42"/>
      <c r="F191" s="42"/>
      <c r="G191" s="42"/>
      <c r="H191" s="42"/>
      <c r="I191" s="75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67"/>
      <c r="AP191" s="38"/>
      <c r="AQ191" s="47"/>
      <c r="AR191" s="38"/>
      <c r="AS191" s="38"/>
      <c r="AT191" s="38"/>
      <c r="AU191" s="38"/>
      <c r="AV191" s="38"/>
      <c r="AW191" s="38"/>
      <c r="AX191" s="38"/>
      <c r="AY191" s="38"/>
      <c r="AZ191" s="38"/>
      <c r="BA191" s="71"/>
      <c r="BB191" s="50"/>
      <c r="BD191" s="100"/>
      <c r="BE191" s="291"/>
    </row>
    <row r="192" spans="1:57" ht="12">
      <c r="A192" s="35"/>
      <c r="B192" s="35" t="s">
        <v>170</v>
      </c>
      <c r="C192" s="44">
        <f>SUM(C68-C190)</f>
        <v>2905432</v>
      </c>
      <c r="D192" s="44">
        <f t="shared" ref="D192:H192" si="210">SUM(D68-D190)</f>
        <v>-337018.25926327257</v>
      </c>
      <c r="E192" s="44">
        <f t="shared" si="210"/>
        <v>-1327914.0068835397</v>
      </c>
      <c r="F192" s="44">
        <f t="shared" si="210"/>
        <v>-298350.06143496901</v>
      </c>
      <c r="G192" s="44">
        <f t="shared" si="210"/>
        <v>-167463.36786351999</v>
      </c>
      <c r="H192" s="44">
        <f t="shared" si="210"/>
        <v>-121124.96928637281</v>
      </c>
      <c r="I192" s="76"/>
      <c r="J192" s="44">
        <f t="shared" ref="J192:AI192" si="211">+J68-J104-J188</f>
        <v>-84204.90763597253</v>
      </c>
      <c r="K192" s="44">
        <f t="shared" si="211"/>
        <v>-81516.355976099992</v>
      </c>
      <c r="L192" s="44">
        <f t="shared" si="211"/>
        <v>-80384.992935600007</v>
      </c>
      <c r="M192" s="44">
        <f t="shared" si="211"/>
        <v>-90912.0027156</v>
      </c>
      <c r="N192" s="44"/>
      <c r="O192" s="44">
        <f t="shared" si="211"/>
        <v>-89820.370663067995</v>
      </c>
      <c r="P192" s="44">
        <f t="shared" ref="P192" si="212">+P68-P104-P188</f>
        <v>-82269.510923567999</v>
      </c>
      <c r="Q192" s="44">
        <f t="shared" si="211"/>
        <v>-89677.031401832093</v>
      </c>
      <c r="R192" s="44">
        <f t="shared" si="211"/>
        <v>-90762.0027156</v>
      </c>
      <c r="S192" s="44">
        <f t="shared" si="211"/>
        <v>-89067.215715600003</v>
      </c>
      <c r="T192" s="44">
        <f t="shared" ref="T192:U192" si="213">+T68-T104-T188</f>
        <v>-82069.510923567999</v>
      </c>
      <c r="U192" s="44">
        <f t="shared" si="213"/>
        <v>-90712.0027156</v>
      </c>
      <c r="V192" s="44">
        <f t="shared" si="211"/>
        <v>-80184.992935600007</v>
      </c>
      <c r="W192" s="44">
        <f t="shared" si="211"/>
        <v>-54832.584977012491</v>
      </c>
      <c r="X192" s="44">
        <f t="shared" si="211"/>
        <v>-60074.397599999997</v>
      </c>
      <c r="Y192" s="44">
        <f t="shared" si="211"/>
        <v>0</v>
      </c>
      <c r="Z192" s="44">
        <f t="shared" si="211"/>
        <v>-17635.339438800002</v>
      </c>
      <c r="AA192" s="44">
        <f t="shared" si="211"/>
        <v>-53672.937860499995</v>
      </c>
      <c r="AB192" s="44">
        <f t="shared" si="211"/>
        <v>-16878.417690600003</v>
      </c>
      <c r="AC192" s="44">
        <f t="shared" si="211"/>
        <v>-51292.17482</v>
      </c>
      <c r="AD192" s="44">
        <f t="shared" si="211"/>
        <v>-16878.417690600003</v>
      </c>
      <c r="AE192" s="44">
        <f t="shared" si="211"/>
        <v>-53023.537860500001</v>
      </c>
      <c r="AF192" s="44">
        <f t="shared" si="211"/>
        <v>-153374.91041009105</v>
      </c>
      <c r="AG192" s="44">
        <f t="shared" si="211"/>
        <v>-52523.537860500001</v>
      </c>
      <c r="AH192" s="44">
        <f t="shared" si="211"/>
        <v>-52472.937860499995</v>
      </c>
      <c r="AI192" s="44">
        <f t="shared" si="211"/>
        <v>-50692.17482</v>
      </c>
      <c r="AJ192" s="44">
        <f t="shared" ref="AJ192:AN192" si="214">+AJ68-AJ104-AJ188</f>
        <v>-53658.18497701249</v>
      </c>
      <c r="AK192" s="44">
        <f t="shared" si="214"/>
        <v>-55996.223271437797</v>
      </c>
      <c r="AL192" s="44">
        <f t="shared" si="214"/>
        <v>-55147.937860499995</v>
      </c>
      <c r="AM192" s="44">
        <f t="shared" ref="AM192" si="215">+AM68-AM104-AM188</f>
        <v>-53647.937860499995</v>
      </c>
      <c r="AN192" s="44">
        <f t="shared" si="214"/>
        <v>-79899.777465518739</v>
      </c>
      <c r="AO192" s="70"/>
      <c r="AP192" s="44">
        <f t="shared" ref="AP192:AZ192" si="216">SUM(AP68-AP190)</f>
        <v>0</v>
      </c>
      <c r="AQ192" s="44">
        <f t="shared" si="216"/>
        <v>266535.67290336761</v>
      </c>
      <c r="AR192" s="44">
        <f t="shared" si="216"/>
        <v>-66926.192856731795</v>
      </c>
      <c r="AS192" s="44">
        <f t="shared" si="216"/>
        <v>-65825.01318400001</v>
      </c>
      <c r="AT192" s="44">
        <f t="shared" si="216"/>
        <v>-12279.8951304</v>
      </c>
      <c r="AU192" s="44">
        <f t="shared" ref="AU192" si="217">SUM(AU68-AU190)</f>
        <v>0</v>
      </c>
      <c r="AV192" s="44">
        <f t="shared" si="216"/>
        <v>-1915.3115760000001</v>
      </c>
      <c r="AW192" s="44">
        <f t="shared" si="216"/>
        <v>-787774.89945000003</v>
      </c>
      <c r="AX192" s="40">
        <f t="shared" ref="AX192" si="218">+AX68-AX104-AX188</f>
        <v>0</v>
      </c>
      <c r="AY192" s="44">
        <f t="shared" si="216"/>
        <v>-127280.62413600885</v>
      </c>
      <c r="AZ192" s="44">
        <f t="shared" si="216"/>
        <v>-142352</v>
      </c>
      <c r="BA192" s="74"/>
      <c r="BB192" s="50">
        <f>SUM(BB68-BB190)</f>
        <v>-284256.92816144787</v>
      </c>
      <c r="BD192" s="100">
        <f t="shared" ref="BD192" si="219">SUM(BD68-BD190)</f>
        <v>60747.570000000298</v>
      </c>
      <c r="BE192" s="280">
        <f>SUM(BE68-BE190)</f>
        <v>-256012.57774222177</v>
      </c>
    </row>
    <row r="193" spans="1:57">
      <c r="D193" s="26">
        <f>+SUM(J192:M192)-D192</f>
        <v>0</v>
      </c>
      <c r="E193" s="26">
        <f>+SUM(O192:AI192)-E192</f>
        <v>0</v>
      </c>
      <c r="F193" s="26">
        <f>+SUM(AJ192:AN192)-F192</f>
        <v>0</v>
      </c>
      <c r="AP193" s="52"/>
      <c r="AQ193" s="53"/>
      <c r="AR193" s="52"/>
      <c r="AS193" s="52"/>
      <c r="AT193" s="52"/>
      <c r="AW193" s="38"/>
      <c r="AY193" s="38"/>
      <c r="BE193" s="290"/>
    </row>
    <row r="194" spans="1:57">
      <c r="A194" s="78"/>
      <c r="AP194" s="52"/>
      <c r="AQ194" s="53"/>
      <c r="AR194" s="52"/>
      <c r="AS194" s="52"/>
      <c r="AT194" s="52"/>
      <c r="BE194" s="290"/>
    </row>
    <row r="195" spans="1:57">
      <c r="A195" s="78"/>
      <c r="AP195" s="52"/>
      <c r="AQ195" s="53"/>
      <c r="AR195" s="52"/>
      <c r="AS195" s="52"/>
      <c r="AT195" s="52"/>
      <c r="BE195" s="290"/>
    </row>
    <row r="196" spans="1:57">
      <c r="B196" s="26"/>
      <c r="AP196" s="52"/>
      <c r="AQ196" s="53"/>
      <c r="AR196" s="52"/>
      <c r="AS196" s="52"/>
      <c r="AT196" s="52"/>
      <c r="BE196" s="290"/>
    </row>
  </sheetData>
  <pageMargins left="0.7" right="0.7" top="0.75" bottom="0.75" header="0.3" footer="0.3"/>
  <pageSetup paperSize="5" scale="29" fitToHeight="0" orientation="landscape"/>
  <headerFooter alignWithMargins="0">
    <oddHeader>&amp;C&amp;"MS Sans Serif,Bold"&amp;18INTERNATIONAL SCHOOL OF LOUISIANA
&amp;A CAMPUS
&amp;13BUDGET '13-2014</oddHeader>
    <oddFooter>&amp;L&amp;6&amp;Z&amp;F&amp;R&amp;P of &amp;N</oddFooter>
  </headerFooter>
  <ignoredErrors>
    <ignoredError sqref="D7:E7 D87 D110 D154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FC-SCH</vt:lpstr>
      <vt:lpstr>AC-SCH</vt:lpstr>
      <vt:lpstr>OP-SCH</vt:lpstr>
      <vt:lpstr>STF-SCH</vt:lpstr>
      <vt:lpstr>13-2014 Ret Emp</vt:lpstr>
      <vt:lpstr>SUM</vt:lpstr>
      <vt:lpstr>CAMP</vt:lpstr>
      <vt:lpstr>OLIVIER</vt:lpstr>
      <vt:lpstr>BUNCHE</vt:lpstr>
      <vt:lpstr>CMO</vt:lpstr>
      <vt:lpstr>AC-SVC</vt:lpstr>
      <vt:lpstr>PT</vt:lpstr>
      <vt:lpstr>CCLC</vt:lpstr>
      <vt:lpstr>DID</vt:lpstr>
      <vt:lpstr>FC</vt:lpstr>
      <vt:lpstr>FN</vt:lpstr>
      <vt:lpstr>FS</vt:lpstr>
      <vt:lpstr>HR</vt:lpstr>
      <vt:lpstr>IT</vt:lpstr>
      <vt:lpstr>Wkng Doc</vt:lpstr>
      <vt:lpstr>NOTES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REVISION</dc:title>
  <dc:creator>Sean Wilson</dc:creator>
  <cp:lastModifiedBy>Rebecca</cp:lastModifiedBy>
  <cp:lastPrinted>2013-04-12T18:39:15Z</cp:lastPrinted>
  <dcterms:created xsi:type="dcterms:W3CDTF">2011-03-12T00:48:30Z</dcterms:created>
  <dcterms:modified xsi:type="dcterms:W3CDTF">2013-06-12T00:14:17Z</dcterms:modified>
</cp:coreProperties>
</file>