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25600" windowHeight="14560" tabRatio="889" activeTab="2"/>
  </bookViews>
  <sheets>
    <sheet name="DATA" sheetId="1" r:id="rId1"/>
    <sheet name="Sheet1" sheetId="2" r:id="rId2"/>
    <sheet name="COMBINED FY 2014 BUDGETS" sheetId="3" r:id="rId3"/>
    <sheet name="PCR" sheetId="4" r:id="rId4"/>
  </sheets>
  <definedNames>
    <definedName name="_Key1" hidden="1">'PCR'!#REF!</definedName>
    <definedName name="_Order1" localSheetId="3" hidden="1">255</definedName>
    <definedName name="_Sort" hidden="1">'PCR'!#REF!</definedName>
    <definedName name="_xlnm.Print_Area" localSheetId="2">'COMBINED FY 2014 BUDGETS'!$A$1:$B$109</definedName>
    <definedName name="_xlnm.Print_Area" localSheetId="0">'DATA'!#REF!</definedName>
    <definedName name="_xlnm.Print_Titles" localSheetId="2">'COMBINED FY 2014 BUDGETS'!$A:$A,'COMBINED FY 2014 BUDGETS'!$3:$4</definedName>
  </definedNames>
  <calcPr fullCalcOnLoad="1"/>
</workbook>
</file>

<file path=xl/sharedStrings.xml><?xml version="1.0" encoding="utf-8"?>
<sst xmlns="http://schemas.openxmlformats.org/spreadsheetml/2006/main" count="197" uniqueCount="183">
  <si>
    <t>Monthly</t>
  </si>
  <si>
    <t>Professional Fees</t>
  </si>
  <si>
    <t>Description</t>
  </si>
  <si>
    <t>REVENUE:</t>
  </si>
  <si>
    <t>PERSONNEL:</t>
  </si>
  <si>
    <t xml:space="preserve">  Payroll:</t>
  </si>
  <si>
    <t xml:space="preserve">  Total Payroll</t>
  </si>
  <si>
    <t xml:space="preserve">  Taxes and Benefits: </t>
  </si>
  <si>
    <t xml:space="preserve">    Employer FICA</t>
  </si>
  <si>
    <t xml:space="preserve">    Unemployment Insurance</t>
  </si>
  <si>
    <t xml:space="preserve">    Medical/Dental Ins.</t>
  </si>
  <si>
    <t xml:space="preserve">    Other EE benefits</t>
  </si>
  <si>
    <t>Total taxes and benefits</t>
  </si>
  <si>
    <t xml:space="preserve">  Contracts:</t>
  </si>
  <si>
    <t>Total contracts</t>
  </si>
  <si>
    <t xml:space="preserve">  Training/Recruitment:</t>
  </si>
  <si>
    <t>Total Training/Recruitment</t>
  </si>
  <si>
    <t>TOTAL PERSONNEL</t>
  </si>
  <si>
    <t xml:space="preserve">  Facilities:</t>
  </si>
  <si>
    <t xml:space="preserve">    Telephone</t>
  </si>
  <si>
    <t xml:space="preserve">    Utilities</t>
  </si>
  <si>
    <t>Total facilities</t>
  </si>
  <si>
    <t>GENERAL &amp; ADMINISTRATIVE:</t>
  </si>
  <si>
    <t xml:space="preserve">    Postage &amp; freight</t>
  </si>
  <si>
    <t xml:space="preserve">    Office supplies</t>
  </si>
  <si>
    <t>Total Administrative Supplies</t>
  </si>
  <si>
    <t>TOTAL EXPENSES</t>
  </si>
  <si>
    <t>Position Control Roster</t>
  </si>
  <si>
    <t>Budget</t>
  </si>
  <si>
    <t>Total</t>
  </si>
  <si>
    <t xml:space="preserve">    Workers Comp</t>
  </si>
  <si>
    <t xml:space="preserve">    Professional Fees</t>
  </si>
  <si>
    <t xml:space="preserve"> Monthly Professional Fees</t>
  </si>
  <si>
    <t xml:space="preserve">  Misc unexpected</t>
  </si>
  <si>
    <t>Registrar</t>
  </si>
  <si>
    <t>Unemployment Insurance</t>
  </si>
  <si>
    <t>Number of Employees</t>
  </si>
  <si>
    <t xml:space="preserve">Turnover </t>
  </si>
  <si>
    <t>Wages subject to tax ($7,000 per)</t>
  </si>
  <si>
    <t>Tax Rate</t>
  </si>
  <si>
    <t>Total Unemployment Insurance</t>
  </si>
  <si>
    <t>Workers Comp Insurance</t>
  </si>
  <si>
    <t>Total Wages</t>
  </si>
  <si>
    <t>Insurance:</t>
  </si>
  <si>
    <t>Single</t>
  </si>
  <si>
    <t>Emp + Ch</t>
  </si>
  <si>
    <t>Emp + Spouse</t>
  </si>
  <si>
    <t>Family</t>
  </si>
  <si>
    <t>Med</t>
  </si>
  <si>
    <t>Den</t>
  </si>
  <si>
    <t>Vision</t>
  </si>
  <si>
    <t xml:space="preserve">    401(k) Contribution</t>
  </si>
  <si>
    <t xml:space="preserve">    Substitute Teachers</t>
  </si>
  <si>
    <t>Principal</t>
  </si>
  <si>
    <t xml:space="preserve">  Administrative Expenses:</t>
  </si>
  <si>
    <t xml:space="preserve">  Annual Audit</t>
  </si>
  <si>
    <t xml:space="preserve">  EVIT Teachers</t>
  </si>
  <si>
    <t xml:space="preserve">  Attorney Fees</t>
  </si>
  <si>
    <t>Life</t>
  </si>
  <si>
    <t>15 hrs wk x $20 hr</t>
  </si>
  <si>
    <t>Art Instruction</t>
  </si>
  <si>
    <t xml:space="preserve">  AXIA</t>
  </si>
  <si>
    <t xml:space="preserve">    Principal</t>
  </si>
  <si>
    <t xml:space="preserve">  Blueprint</t>
  </si>
  <si>
    <t xml:space="preserve">Title I </t>
  </si>
  <si>
    <t xml:space="preserve">    Depreciation Expenses</t>
  </si>
  <si>
    <t xml:space="preserve">    Athletics </t>
  </si>
  <si>
    <t>Total Special Education</t>
  </si>
  <si>
    <t>Core Academics</t>
  </si>
  <si>
    <t>Special Education</t>
  </si>
  <si>
    <t>Education:</t>
  </si>
  <si>
    <t>Admin Assistant</t>
  </si>
  <si>
    <t>Annual</t>
  </si>
  <si>
    <t>Education Revenue - PPR Oct 1</t>
  </si>
  <si>
    <t>Education Revenue - PPR Feb 1</t>
  </si>
  <si>
    <t>PROJECTED STUDENTS  - Oct 1</t>
  </si>
  <si>
    <t>PROJECTED STUDENTS  - Feb 1</t>
  </si>
  <si>
    <t xml:space="preserve">ANNUAL </t>
  </si>
  <si>
    <t xml:space="preserve">  50 additional students of Feb 1 count date</t>
  </si>
  <si>
    <t>IDEA</t>
  </si>
  <si>
    <t>Title II</t>
  </si>
  <si>
    <t xml:space="preserve">    Education - Core Curriculum</t>
  </si>
  <si>
    <t xml:space="preserve">    Registrar</t>
  </si>
  <si>
    <t xml:space="preserve">    Admin Assistant</t>
  </si>
  <si>
    <t xml:space="preserve">  </t>
  </si>
  <si>
    <t xml:space="preserve">    Legal Fees</t>
  </si>
  <si>
    <t xml:space="preserve">    Audit Fees</t>
  </si>
  <si>
    <t xml:space="preserve">    Management Fees</t>
  </si>
  <si>
    <t>ANNUAL RESERVES (DEFICIT)</t>
  </si>
  <si>
    <t>NSLP</t>
  </si>
  <si>
    <t xml:space="preserve">    Equipment Expense</t>
  </si>
  <si>
    <t xml:space="preserve">  Assume 90% of population eligible for NSLP</t>
  </si>
  <si>
    <t xml:space="preserve">Total Revenue </t>
  </si>
  <si>
    <t>Carl Perkins</t>
  </si>
  <si>
    <t>Total Transportation</t>
  </si>
  <si>
    <t>Educational Supplies</t>
  </si>
  <si>
    <t>Total Education Supplies</t>
  </si>
  <si>
    <t>Food Service</t>
  </si>
  <si>
    <t xml:space="preserve">     Contracted Food Services</t>
  </si>
  <si>
    <t>Total Food Service</t>
  </si>
  <si>
    <t xml:space="preserve">    Books</t>
  </si>
  <si>
    <t xml:space="preserve">    Software - e-mail, etch</t>
  </si>
  <si>
    <t xml:space="preserve">    Janitorial Supplies</t>
  </si>
  <si>
    <t xml:space="preserve">  Turnover @ 20%, max UI of 6.2% applied + .008 for FUTA</t>
  </si>
  <si>
    <t xml:space="preserve">    Student classroom supplies</t>
  </si>
  <si>
    <t xml:space="preserve">    Teacher supplies</t>
  </si>
  <si>
    <t xml:space="preserve">    Athletic Stipends</t>
  </si>
  <si>
    <t>Off count expulsion students</t>
  </si>
  <si>
    <t>Special Ed Coordinator</t>
  </si>
  <si>
    <t xml:space="preserve">    Vocational Instructors</t>
  </si>
  <si>
    <t>Behavior Mentors</t>
  </si>
  <si>
    <t xml:space="preserve">Teacher - Social Studies 7 - 12 </t>
  </si>
  <si>
    <t>Teacher - TFA, Engl 7-8</t>
  </si>
  <si>
    <t>Teacher - Math 6-12</t>
  </si>
  <si>
    <t>Teacher - Science 6-12</t>
  </si>
  <si>
    <t>Teacher - English 6-12</t>
  </si>
  <si>
    <t>Vocation Instructor</t>
  </si>
  <si>
    <t>Total Behavior Mentors</t>
  </si>
  <si>
    <t>Administration &amp; Maintenance</t>
  </si>
  <si>
    <t>Janitor</t>
  </si>
  <si>
    <t>Maintenance</t>
  </si>
  <si>
    <t>Other Professionals</t>
  </si>
  <si>
    <t>School Nurse</t>
  </si>
  <si>
    <t>Total Staff</t>
  </si>
  <si>
    <t>Total Vocation</t>
  </si>
  <si>
    <t>Crescent Leadership Academy</t>
  </si>
  <si>
    <t>FY 2014 Budget</t>
  </si>
  <si>
    <t xml:space="preserve">    Remediation Stipends</t>
  </si>
  <si>
    <t xml:space="preserve">  $1,161 per student on Oct 1 count day x 80%</t>
  </si>
  <si>
    <t xml:space="preserve">  Estimate $15 per student on Oct 1 count day</t>
  </si>
  <si>
    <t xml:space="preserve">  8 hrs/week x 4 instructors</t>
  </si>
  <si>
    <t xml:space="preserve">  6 stipengs for head coach, 6 for Asst Coach (4 athletics, 2 other)</t>
  </si>
  <si>
    <t xml:space="preserve">    Behavior Mentors</t>
  </si>
  <si>
    <t xml:space="preserve">    Janitor/Maintenance</t>
  </si>
  <si>
    <t xml:space="preserve">    School Social Worker &amp; Nurse</t>
  </si>
  <si>
    <t xml:space="preserve">    Dean of Students</t>
  </si>
  <si>
    <t xml:space="preserve">    Guidance Counselor</t>
  </si>
  <si>
    <t xml:space="preserve">    Instructional Coach</t>
  </si>
  <si>
    <t xml:space="preserve">    Bonding &amp; General Insurance  </t>
  </si>
  <si>
    <t xml:space="preserve">    Bus Routes</t>
  </si>
  <si>
    <t xml:space="preserve">    Recruitment &amp; Preservice</t>
  </si>
  <si>
    <t xml:space="preserve">    Staff Development</t>
  </si>
  <si>
    <t xml:space="preserve">    Rent</t>
  </si>
  <si>
    <t xml:space="preserve">    Building Expenses</t>
  </si>
  <si>
    <t>Transportation &amp; Vehicles:</t>
  </si>
  <si>
    <t xml:space="preserve">    Vehicle Gas</t>
  </si>
  <si>
    <t xml:space="preserve">    Vehicle Maintenance &amp; Repair</t>
  </si>
  <si>
    <t xml:space="preserve">    Vehicle Insurance</t>
  </si>
  <si>
    <t xml:space="preserve">    Printing &amp; Publications</t>
  </si>
  <si>
    <t xml:space="preserve">    Marketing Expense</t>
  </si>
  <si>
    <t xml:space="preserve">    Security Officer</t>
  </si>
  <si>
    <t xml:space="preserve">    Vocational Supplies</t>
  </si>
  <si>
    <t>SPED Funding (25 students)</t>
  </si>
  <si>
    <t xml:space="preserve">  $125/day * 100 days</t>
  </si>
  <si>
    <t xml:space="preserve">  Based on FY13 funding</t>
  </si>
  <si>
    <t xml:space="preserve">  Estimate $445 per student on Oct 1 count day x 20% SPED</t>
  </si>
  <si>
    <t>Additional Expulsion Student Funding</t>
  </si>
  <si>
    <t>$2000 per IEP, est 4 students</t>
  </si>
  <si>
    <t xml:space="preserve">  175 students on Oct 1 count date (incl facility payment)</t>
  </si>
  <si>
    <t>ANNUAL</t>
  </si>
  <si>
    <t xml:space="preserve">    Education - Special Coordinator</t>
  </si>
  <si>
    <t>Teacher - SPED/Art</t>
  </si>
  <si>
    <t>Teacher - Phys Ed/Heath</t>
  </si>
  <si>
    <t>Teacher - Foreign Language</t>
  </si>
  <si>
    <t>Behavior Mentors - Lead</t>
  </si>
  <si>
    <t>Vice Principal of Curr &amp; Instr</t>
  </si>
  <si>
    <t xml:space="preserve">    Lead Teacher Stipend</t>
  </si>
  <si>
    <t>School Social Worker (LCSW)</t>
  </si>
  <si>
    <t>Guidance Counselor</t>
  </si>
  <si>
    <t xml:space="preserve">    Technology Contract</t>
  </si>
  <si>
    <t xml:space="preserve">    Speech Therapy</t>
  </si>
  <si>
    <t xml:space="preserve">  $44/day x 50 students x 80 days</t>
  </si>
  <si>
    <t xml:space="preserve"> SIG Grant</t>
  </si>
  <si>
    <t xml:space="preserve">    SIG Grant Consultants (ART, EPICS, SPED, SCMT)</t>
  </si>
  <si>
    <t xml:space="preserve">    Travel (SIG Grant)</t>
  </si>
  <si>
    <t xml:space="preserve">    Student Cloting for Interviews (SIG)</t>
  </si>
  <si>
    <t xml:space="preserve">    ACT/SAT Traing, Practice &amp; Testing (SIG)</t>
  </si>
  <si>
    <t xml:space="preserve">    Catch up Math (SIG)</t>
  </si>
  <si>
    <t xml:space="preserve">    Textbooks (SIG)</t>
  </si>
  <si>
    <t xml:space="preserve">    Workbooks &amp; Career Interest (SIG)</t>
  </si>
  <si>
    <t xml:space="preserve">    Printing &amp; Publications (SIG)</t>
  </si>
  <si>
    <t xml:space="preserve">    Postage &amp; freight (SIG)</t>
  </si>
  <si>
    <t xml:space="preserve">  Estimate $36/day per expulsion student x 100 students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</si>
</sst>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#,##0.0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#,##0.0000"/>
    <numFmt numFmtId="171" formatCode="0.0"/>
    <numFmt numFmtId="172" formatCode="0.000"/>
    <numFmt numFmtId="173" formatCode="0.0000"/>
    <numFmt numFmtId="174" formatCode="0.0%"/>
    <numFmt numFmtId="175" formatCode="dd\-mmm\-yy_)"/>
    <numFmt numFmtId="176" formatCode="0.00_)"/>
    <numFmt numFmtId="177" formatCode="_(* #,##0.000_);_(* \(#,##0.000\);_(* &quot;-&quot;??_);_(@_)"/>
    <numFmt numFmtId="178" formatCode="_(* #,##0.0000_);_(* \(#,##0.0000\);_(* &quot;-&quot;??_);_(@_)"/>
    <numFmt numFmtId="179" formatCode="0.0_)"/>
    <numFmt numFmtId="180" formatCode="0_)"/>
    <numFmt numFmtId="181" formatCode="0.0000000"/>
    <numFmt numFmtId="182" formatCode="0.000000"/>
    <numFmt numFmtId="183" formatCode="0.00000"/>
    <numFmt numFmtId="184" formatCode="_(* #,##0.000_);_(* \(#,##0.000\);_(* &quot;-&quot;???_);_(@_)"/>
    <numFmt numFmtId="185" formatCode="_(* #,##0.0000_);_(* \(#,##0.0000\);_(* &quot;-&quot;????_);_(@_)"/>
    <numFmt numFmtId="186" formatCode="_(* #,##0.0_);_(* \(#,##0.0\);_(* &quot;-&quot;?_);_(@_)"/>
    <numFmt numFmtId="187" formatCode="#,##0.0000000000_);\(#,##0.0000000000\)"/>
    <numFmt numFmtId="188" formatCode="_(* #,##0.00000_);_(* \(#,##0.00000\);_(* &quot;-&quot;??_);_(@_)"/>
    <numFmt numFmtId="189" formatCode="_(* #,##0.00000_);_(* \(#,##0.00000\);_(* &quot;-&quot;?????_);_(@_)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18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168" fontId="5" fillId="0" borderId="0" xfId="42" applyNumberFormat="1" applyFont="1" applyFill="1" applyAlignment="1">
      <alignment/>
    </xf>
    <xf numFmtId="168" fontId="5" fillId="0" borderId="10" xfId="42" applyNumberFormat="1" applyFont="1" applyFill="1" applyBorder="1" applyAlignment="1">
      <alignment/>
    </xf>
    <xf numFmtId="168" fontId="5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6" fillId="33" borderId="11" xfId="0" applyFont="1" applyFill="1" applyBorder="1" applyAlignment="1">
      <alignment horizontal="centerContinuous"/>
    </xf>
    <xf numFmtId="0" fontId="7" fillId="33" borderId="12" xfId="0" applyFont="1" applyFill="1" applyBorder="1" applyAlignment="1">
      <alignment horizontal="centerContinuous"/>
    </xf>
    <xf numFmtId="0" fontId="6" fillId="33" borderId="13" xfId="0" applyFont="1" applyFill="1" applyBorder="1" applyAlignment="1">
      <alignment horizontal="centerContinuous"/>
    </xf>
    <xf numFmtId="0" fontId="0" fillId="33" borderId="14" xfId="0" applyFont="1" applyFill="1" applyBorder="1" applyAlignment="1">
      <alignment horizontal="centerContinuous"/>
    </xf>
    <xf numFmtId="0" fontId="1" fillId="0" borderId="0" xfId="0" applyFont="1" applyAlignment="1">
      <alignment/>
    </xf>
    <xf numFmtId="168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Alignment="1">
      <alignment/>
    </xf>
    <xf numFmtId="168" fontId="5" fillId="0" borderId="15" xfId="42" applyNumberFormat="1" applyFont="1" applyFill="1" applyBorder="1" applyAlignment="1">
      <alignment/>
    </xf>
    <xf numFmtId="43" fontId="0" fillId="0" borderId="15" xfId="42" applyFont="1" applyBorder="1" applyAlignment="1">
      <alignment/>
    </xf>
    <xf numFmtId="168" fontId="1" fillId="0" borderId="0" xfId="42" applyNumberFormat="1" applyFont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43" fontId="0" fillId="0" borderId="0" xfId="42" applyFont="1" applyBorder="1" applyAlignment="1">
      <alignment/>
    </xf>
    <xf numFmtId="0" fontId="0" fillId="0" borderId="0" xfId="0" applyFill="1" applyAlignment="1">
      <alignment/>
    </xf>
    <xf numFmtId="43" fontId="0" fillId="0" borderId="0" xfId="42" applyFont="1" applyFill="1" applyAlignment="1">
      <alignment/>
    </xf>
    <xf numFmtId="43" fontId="5" fillId="0" borderId="0" xfId="0" applyNumberFormat="1" applyFont="1" applyFill="1" applyAlignment="1">
      <alignment/>
    </xf>
    <xf numFmtId="188" fontId="0" fillId="0" borderId="0" xfId="42" applyNumberFormat="1" applyFont="1" applyAlignment="1">
      <alignment/>
    </xf>
    <xf numFmtId="168" fontId="5" fillId="0" borderId="0" xfId="0" applyNumberFormat="1" applyFont="1" applyFill="1" applyBorder="1" applyAlignment="1">
      <alignment/>
    </xf>
    <xf numFmtId="43" fontId="0" fillId="0" borderId="0" xfId="42" applyFont="1" applyAlignment="1">
      <alignment horizontal="center"/>
    </xf>
    <xf numFmtId="43" fontId="1" fillId="0" borderId="0" xfId="42" applyFont="1" applyAlignment="1">
      <alignment horizontal="center"/>
    </xf>
    <xf numFmtId="0" fontId="0" fillId="0" borderId="0" xfId="0" applyBorder="1" applyAlignment="1">
      <alignment/>
    </xf>
    <xf numFmtId="43" fontId="0" fillId="0" borderId="15" xfId="42" applyFont="1" applyFill="1" applyBorder="1" applyAlignment="1">
      <alignment/>
    </xf>
    <xf numFmtId="44" fontId="0" fillId="0" borderId="0" xfId="45" applyFont="1" applyAlignment="1">
      <alignment/>
    </xf>
    <xf numFmtId="0" fontId="0" fillId="0" borderId="0" xfId="0" applyFill="1" applyAlignment="1">
      <alignment horizontal="center"/>
    </xf>
    <xf numFmtId="43" fontId="0" fillId="0" borderId="0" xfId="42" applyFont="1" applyAlignment="1">
      <alignment/>
    </xf>
    <xf numFmtId="0" fontId="0" fillId="0" borderId="15" xfId="0" applyBorder="1" applyAlignment="1">
      <alignment horizontal="center"/>
    </xf>
    <xf numFmtId="0" fontId="1" fillId="0" borderId="0" xfId="0" applyFont="1" applyFill="1" applyBorder="1" applyAlignment="1">
      <alignment/>
    </xf>
    <xf numFmtId="43" fontId="1" fillId="0" borderId="0" xfId="42" applyFont="1" applyAlignment="1">
      <alignment horizontal="center"/>
    </xf>
    <xf numFmtId="168" fontId="5" fillId="0" borderId="0" xfId="0" applyNumberFormat="1" applyFont="1" applyFill="1" applyBorder="1" applyAlignment="1">
      <alignment/>
    </xf>
    <xf numFmtId="43" fontId="4" fillId="0" borderId="0" xfId="42" applyFont="1" applyFill="1" applyAlignment="1">
      <alignment horizontal="center"/>
    </xf>
    <xf numFmtId="168" fontId="5" fillId="0" borderId="0" xfId="0" applyNumberFormat="1" applyFont="1" applyFill="1" applyAlignment="1">
      <alignment horizontal="left"/>
    </xf>
    <xf numFmtId="168" fontId="5" fillId="0" borderId="16" xfId="42" applyNumberFormat="1" applyFont="1" applyFill="1" applyBorder="1" applyAlignment="1">
      <alignment/>
    </xf>
    <xf numFmtId="168" fontId="5" fillId="0" borderId="0" xfId="42" applyNumberFormat="1" applyFont="1" applyBorder="1" applyAlignment="1">
      <alignment/>
    </xf>
    <xf numFmtId="0" fontId="5" fillId="0" borderId="0" xfId="0" applyFont="1" applyFill="1" applyAlignment="1" quotePrefix="1">
      <alignment/>
    </xf>
    <xf numFmtId="168" fontId="5" fillId="5" borderId="0" xfId="42" applyNumberFormat="1" applyFont="1" applyFill="1" applyBorder="1" applyAlignment="1">
      <alignment horizontal="center"/>
    </xf>
    <xf numFmtId="43" fontId="0" fillId="0" borderId="0" xfId="44" applyFont="1" applyAlignment="1">
      <alignment/>
    </xf>
    <xf numFmtId="43" fontId="1" fillId="0" borderId="0" xfId="44" applyFont="1" applyBorder="1" applyAlignment="1">
      <alignment/>
    </xf>
    <xf numFmtId="43" fontId="0" fillId="0" borderId="0" xfId="44" applyFont="1" applyFill="1" applyAlignment="1">
      <alignment/>
    </xf>
    <xf numFmtId="43" fontId="0" fillId="0" borderId="15" xfId="44" applyFont="1" applyFill="1" applyBorder="1" applyAlignment="1">
      <alignment/>
    </xf>
    <xf numFmtId="43" fontId="0" fillId="0" borderId="0" xfId="44" applyFont="1" applyBorder="1" applyAlignment="1">
      <alignment/>
    </xf>
    <xf numFmtId="43" fontId="0" fillId="0" borderId="0" xfId="44" applyFont="1" applyFill="1" applyBorder="1" applyAlignment="1">
      <alignment/>
    </xf>
    <xf numFmtId="43" fontId="0" fillId="0" borderId="15" xfId="44" applyFont="1" applyBorder="1" applyAlignment="1">
      <alignment/>
    </xf>
    <xf numFmtId="43" fontId="1" fillId="0" borderId="0" xfId="44" applyFont="1" applyFill="1" applyAlignment="1">
      <alignment/>
    </xf>
    <xf numFmtId="0" fontId="0" fillId="0" borderId="0" xfId="0" applyFill="1" applyBorder="1" applyAlignment="1">
      <alignment horizontal="center"/>
    </xf>
    <xf numFmtId="43" fontId="1" fillId="0" borderId="0" xfId="44" applyFont="1" applyAlignment="1">
      <alignment/>
    </xf>
    <xf numFmtId="43" fontId="0" fillId="0" borderId="17" xfId="0" applyNumberFormat="1" applyBorder="1" applyAlignment="1">
      <alignment/>
    </xf>
    <xf numFmtId="43" fontId="0" fillId="0" borderId="17" xfId="42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3" fontId="0" fillId="0" borderId="0" xfId="44" applyFont="1" applyFill="1" applyAlignment="1">
      <alignment/>
    </xf>
    <xf numFmtId="43" fontId="0" fillId="0" borderId="0" xfId="42" applyFont="1" applyFill="1" applyAlignment="1">
      <alignment/>
    </xf>
    <xf numFmtId="0" fontId="7" fillId="33" borderId="0" xfId="0" applyFont="1" applyFill="1" applyBorder="1" applyAlignment="1">
      <alignment horizontal="centerContinuous"/>
    </xf>
    <xf numFmtId="0" fontId="0" fillId="33" borderId="0" xfId="0" applyFont="1" applyFill="1" applyBorder="1" applyAlignment="1">
      <alignment horizontal="centerContinuous"/>
    </xf>
    <xf numFmtId="43" fontId="0" fillId="0" borderId="15" xfId="42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C7" sqref="C7"/>
    </sheetView>
  </sheetViews>
  <sheetFormatPr defaultColWidth="8.8515625" defaultRowHeight="12.75"/>
  <cols>
    <col min="1" max="1" width="23.8515625" style="0" customWidth="1"/>
    <col min="2" max="2" width="10.00390625" style="15" customWidth="1"/>
    <col min="3" max="3" width="11.28125" style="0" bestFit="1" customWidth="1"/>
    <col min="4" max="4" width="11.8515625" style="0" customWidth="1"/>
    <col min="5" max="5" width="10.28125" style="0" bestFit="1" customWidth="1"/>
    <col min="6" max="7" width="9.421875" style="0" bestFit="1" customWidth="1"/>
    <col min="8" max="8" width="9.28125" style="0" customWidth="1"/>
    <col min="9" max="9" width="9.421875" style="0" bestFit="1" customWidth="1"/>
    <col min="10" max="10" width="10.28125" style="0" bestFit="1" customWidth="1"/>
  </cols>
  <sheetData>
    <row r="2" spans="1:6" ht="12">
      <c r="A2" s="14" t="s">
        <v>1</v>
      </c>
      <c r="B2" s="23"/>
      <c r="F2" s="18"/>
    </row>
    <row r="3" spans="1:9" ht="12">
      <c r="A3" s="24" t="s">
        <v>55</v>
      </c>
      <c r="B3" s="23"/>
      <c r="C3" s="16">
        <v>12000</v>
      </c>
      <c r="I3" s="16"/>
    </row>
    <row r="4" spans="1:4" ht="12">
      <c r="A4" s="24" t="s">
        <v>56</v>
      </c>
      <c r="B4" s="23"/>
      <c r="C4" s="16">
        <v>32000</v>
      </c>
      <c r="D4" s="16"/>
    </row>
    <row r="5" spans="1:9" ht="12">
      <c r="A5" s="24" t="s">
        <v>57</v>
      </c>
      <c r="B5" s="23"/>
      <c r="C5" s="16">
        <v>2500</v>
      </c>
      <c r="H5" s="41"/>
      <c r="I5" s="16"/>
    </row>
    <row r="6" spans="1:6" ht="12">
      <c r="A6" s="24" t="s">
        <v>33</v>
      </c>
      <c r="B6" s="23"/>
      <c r="C6" s="31">
        <v>1000</v>
      </c>
      <c r="F6" s="18"/>
    </row>
    <row r="7" spans="1:6" ht="12">
      <c r="A7" s="24" t="s">
        <v>63</v>
      </c>
      <c r="B7" s="23"/>
      <c r="C7" s="31">
        <v>16000</v>
      </c>
      <c r="F7" s="18"/>
    </row>
    <row r="8" spans="1:6" ht="12">
      <c r="A8" s="24" t="s">
        <v>61</v>
      </c>
      <c r="B8" s="23"/>
      <c r="C8" s="22">
        <v>1800</v>
      </c>
      <c r="F8" s="18" t="s">
        <v>60</v>
      </c>
    </row>
    <row r="9" spans="1:9" ht="12">
      <c r="A9" t="s">
        <v>32</v>
      </c>
      <c r="C9" s="16">
        <f>SUM(C3:C8)</f>
        <v>65300</v>
      </c>
      <c r="F9" t="s">
        <v>59</v>
      </c>
      <c r="H9" s="41">
        <f>15*20</f>
        <v>300</v>
      </c>
      <c r="I9" s="16">
        <f>+H9*26</f>
        <v>7800</v>
      </c>
    </row>
    <row r="10" spans="3:9" ht="16.5" customHeight="1">
      <c r="C10" s="16">
        <f>+C9/12</f>
        <v>5441.666666666667</v>
      </c>
      <c r="H10" s="41"/>
      <c r="I10" s="16"/>
    </row>
    <row r="15" spans="3:5" ht="12">
      <c r="C15">
        <f>100*4*24</f>
        <v>9600</v>
      </c>
      <c r="D15">
        <v>3</v>
      </c>
      <c r="E15" s="16">
        <f>+C15*D15</f>
        <v>28800</v>
      </c>
    </row>
  </sheetData>
  <sheetProtection/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4:L22"/>
  <sheetViews>
    <sheetView workbookViewId="0" topLeftCell="A1">
      <selection activeCell="D48" sqref="D48"/>
    </sheetView>
  </sheetViews>
  <sheetFormatPr defaultColWidth="8.8515625" defaultRowHeight="12.75"/>
  <cols>
    <col min="1" max="3" width="8.8515625" style="0" customWidth="1"/>
    <col min="4" max="4" width="9.28125" style="16" bestFit="1" customWidth="1"/>
    <col min="5" max="5" width="12.8515625" style="16" bestFit="1" customWidth="1"/>
    <col min="6" max="8" width="8.8515625" style="0" customWidth="1"/>
    <col min="9" max="9" width="11.28125" style="16" bestFit="1" customWidth="1"/>
  </cols>
  <sheetData>
    <row r="4" ht="12">
      <c r="F4" t="s">
        <v>41</v>
      </c>
    </row>
    <row r="6" spans="6:9" ht="12">
      <c r="F6" t="s">
        <v>42</v>
      </c>
      <c r="I6" s="16">
        <f>+'COMBINED FY 2014 BUDGETS'!B38</f>
        <v>1535960</v>
      </c>
    </row>
    <row r="9" spans="2:6" ht="12">
      <c r="B9" s="39"/>
      <c r="F9" t="s">
        <v>43</v>
      </c>
    </row>
    <row r="10" spans="8:12" ht="12">
      <c r="H10" s="19" t="s">
        <v>48</v>
      </c>
      <c r="I10" s="37" t="s">
        <v>49</v>
      </c>
      <c r="J10" s="19" t="s">
        <v>50</v>
      </c>
      <c r="K10" s="19" t="s">
        <v>58</v>
      </c>
      <c r="L10" s="19" t="s">
        <v>29</v>
      </c>
    </row>
    <row r="11" spans="6:12" ht="12">
      <c r="F11" t="s">
        <v>44</v>
      </c>
      <c r="H11" s="16">
        <v>232.3</v>
      </c>
      <c r="I11" s="16">
        <v>24.56</v>
      </c>
      <c r="J11" s="16">
        <v>4.79</v>
      </c>
      <c r="K11" s="16">
        <v>6.5</v>
      </c>
      <c r="L11" s="16">
        <f>SUM(H11:K11)</f>
        <v>268.15000000000003</v>
      </c>
    </row>
    <row r="12" spans="6:12" ht="12">
      <c r="F12" t="s">
        <v>45</v>
      </c>
      <c r="H12" s="16">
        <v>343.4</v>
      </c>
      <c r="I12" s="16">
        <v>53.39</v>
      </c>
      <c r="J12" s="16">
        <v>13.59</v>
      </c>
      <c r="K12" s="16">
        <v>6.5</v>
      </c>
      <c r="L12" s="16">
        <f>SUM(H12:K12)</f>
        <v>416.87999999999994</v>
      </c>
    </row>
    <row r="13" spans="6:12" ht="12">
      <c r="F13" t="s">
        <v>46</v>
      </c>
      <c r="H13" s="16">
        <v>515.5</v>
      </c>
      <c r="I13" s="16">
        <v>62.72</v>
      </c>
      <c r="J13" s="16">
        <v>13.59</v>
      </c>
      <c r="K13" s="16">
        <v>6.5</v>
      </c>
      <c r="L13" s="16">
        <f>SUM(H13:K13)</f>
        <v>598.3100000000001</v>
      </c>
    </row>
    <row r="14" spans="6:12" ht="12">
      <c r="F14" t="s">
        <v>47</v>
      </c>
      <c r="H14" s="16">
        <v>695.1</v>
      </c>
      <c r="I14" s="16">
        <v>86.14</v>
      </c>
      <c r="J14" s="16">
        <v>13.59</v>
      </c>
      <c r="K14" s="16">
        <v>6.5</v>
      </c>
      <c r="L14" s="16">
        <f>SUM(H14:K14)</f>
        <v>801.33</v>
      </c>
    </row>
    <row r="16" ht="12">
      <c r="A16" s="18" t="s">
        <v>35</v>
      </c>
    </row>
    <row r="17" spans="1:5" ht="12">
      <c r="A17" t="s">
        <v>36</v>
      </c>
      <c r="E17" s="16" t="e">
        <f>+PCR!#REF!</f>
        <v>#REF!</v>
      </c>
    </row>
    <row r="18" spans="1:5" ht="12">
      <c r="A18" t="s">
        <v>37</v>
      </c>
      <c r="E18" s="22">
        <v>2</v>
      </c>
    </row>
    <row r="19" ht="12">
      <c r="E19" s="16" t="e">
        <f>SUM(E17:E18)</f>
        <v>#REF!</v>
      </c>
    </row>
    <row r="20" spans="1:6" ht="12">
      <c r="A20" t="s">
        <v>38</v>
      </c>
      <c r="E20" s="16" t="e">
        <f>+E19*7000</f>
        <v>#REF!</v>
      </c>
      <c r="F20">
        <v>14000</v>
      </c>
    </row>
    <row r="21" spans="1:6" ht="12">
      <c r="A21" t="s">
        <v>39</v>
      </c>
      <c r="E21" s="35">
        <f>0.0074+0.000074</f>
        <v>0.007474000000000001</v>
      </c>
      <c r="F21" s="35">
        <f>0.0074+0.000074</f>
        <v>0.007474000000000001</v>
      </c>
    </row>
    <row r="22" spans="1:6" ht="12">
      <c r="A22" t="s">
        <v>40</v>
      </c>
      <c r="E22" s="16" t="e">
        <f>+E20*E21</f>
        <v>#REF!</v>
      </c>
      <c r="F22" s="16">
        <f>+F20*F21</f>
        <v>104.63600000000001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1"/>
  <sheetViews>
    <sheetView tabSelected="1" zoomScale="150" zoomScaleNormal="150" workbookViewId="0" topLeftCell="A51">
      <selection activeCell="C90" sqref="C90"/>
    </sheetView>
  </sheetViews>
  <sheetFormatPr defaultColWidth="9.140625" defaultRowHeight="12.75"/>
  <cols>
    <col min="1" max="1" width="38.8515625" style="2" customWidth="1"/>
    <col min="2" max="2" width="12.8515625" style="2" hidden="1" customWidth="1"/>
    <col min="3" max="3" width="12.8515625" style="2" customWidth="1"/>
    <col min="4" max="4" width="13.421875" style="2" customWidth="1"/>
    <col min="5" max="16384" width="9.140625" style="2" customWidth="1"/>
  </cols>
  <sheetData>
    <row r="1" spans="1:3" s="9" customFormat="1" ht="21">
      <c r="A1" s="10" t="s">
        <v>125</v>
      </c>
      <c r="B1" s="11"/>
      <c r="C1" s="70"/>
    </row>
    <row r="2" spans="1:3" s="9" customFormat="1" ht="21.75" thickBot="1">
      <c r="A2" s="12" t="s">
        <v>126</v>
      </c>
      <c r="B2" s="13"/>
      <c r="C2" s="71"/>
    </row>
    <row r="3" spans="1:3" s="1" customFormat="1" ht="19.5" customHeight="1">
      <c r="A3" s="3"/>
      <c r="B3" s="4"/>
      <c r="C3" s="4"/>
    </row>
    <row r="4" spans="1:3" ht="9.75">
      <c r="A4" s="4" t="s">
        <v>2</v>
      </c>
      <c r="B4" s="4" t="s">
        <v>77</v>
      </c>
      <c r="C4" s="4" t="s">
        <v>159</v>
      </c>
    </row>
    <row r="5" spans="1:3" s="5" customFormat="1" ht="17.25" customHeight="1">
      <c r="A5" s="26" t="s">
        <v>75</v>
      </c>
      <c r="B5" s="25">
        <v>175</v>
      </c>
      <c r="C5" s="25">
        <v>200</v>
      </c>
    </row>
    <row r="6" spans="1:3" s="5" customFormat="1" ht="17.25" customHeight="1">
      <c r="A6" s="26" t="s">
        <v>76</v>
      </c>
      <c r="B6" s="25">
        <v>200</v>
      </c>
      <c r="C6" s="25">
        <v>225</v>
      </c>
    </row>
    <row r="7" spans="1:3" s="20" customFormat="1" ht="15" customHeight="1">
      <c r="A7" s="26" t="s">
        <v>3</v>
      </c>
      <c r="B7" s="48"/>
      <c r="C7" s="48"/>
    </row>
    <row r="8" spans="1:4" s="27" customFormat="1" ht="13.5" customHeight="1">
      <c r="A8" s="47" t="s">
        <v>73</v>
      </c>
      <c r="B8" s="8">
        <f>+B5*7720</f>
        <v>1351000</v>
      </c>
      <c r="C8" s="8">
        <f>+C5*7720</f>
        <v>1544000</v>
      </c>
      <c r="D8" s="49" t="s">
        <v>158</v>
      </c>
    </row>
    <row r="9" spans="1:4" s="27" customFormat="1" ht="13.5" customHeight="1">
      <c r="A9" s="47" t="s">
        <v>152</v>
      </c>
      <c r="B9" s="8">
        <f>25*8377.98</f>
        <v>209449.5</v>
      </c>
      <c r="C9" s="8">
        <f>25*8377.98</f>
        <v>209449.5</v>
      </c>
      <c r="D9" s="49" t="s">
        <v>154</v>
      </c>
    </row>
    <row r="10" spans="1:4" s="27" customFormat="1" ht="13.5" customHeight="1">
      <c r="A10" s="47" t="s">
        <v>74</v>
      </c>
      <c r="B10" s="8">
        <f>SUM(B6-B5)*4041.5</f>
        <v>101037.5</v>
      </c>
      <c r="C10" s="8">
        <f>SUM(C6-C5)*4041.5</f>
        <v>101037.5</v>
      </c>
      <c r="D10" s="36" t="s">
        <v>78</v>
      </c>
    </row>
    <row r="11" spans="1:4" s="27" customFormat="1" ht="13.5" customHeight="1">
      <c r="A11" s="47" t="s">
        <v>172</v>
      </c>
      <c r="B11" s="8">
        <v>336620</v>
      </c>
      <c r="C11" s="8">
        <v>336620</v>
      </c>
      <c r="D11" s="36"/>
    </row>
    <row r="12" spans="1:4" s="27" customFormat="1" ht="13.5" customHeight="1">
      <c r="A12" s="47" t="s">
        <v>64</v>
      </c>
      <c r="B12" s="8">
        <v>72550</v>
      </c>
      <c r="C12" s="8">
        <v>72550</v>
      </c>
      <c r="D12" s="36" t="s">
        <v>128</v>
      </c>
    </row>
    <row r="13" spans="1:4" s="27" customFormat="1" ht="13.5" customHeight="1">
      <c r="A13" s="47" t="s">
        <v>79</v>
      </c>
      <c r="B13" s="8">
        <f>+B5*445*0.2</f>
        <v>15575</v>
      </c>
      <c r="C13" s="8">
        <f>+C5*445*0.2</f>
        <v>17800</v>
      </c>
      <c r="D13" s="36" t="s">
        <v>155</v>
      </c>
    </row>
    <row r="14" spans="1:4" s="27" customFormat="1" ht="13.5" customHeight="1">
      <c r="A14" s="47" t="s">
        <v>89</v>
      </c>
      <c r="B14" s="8">
        <f>(4.22*B5*0.9)*181</f>
        <v>120301.65</v>
      </c>
      <c r="C14" s="8">
        <f>(4.22*C5*0.9)*181</f>
        <v>137487.6</v>
      </c>
      <c r="D14" s="36" t="s">
        <v>91</v>
      </c>
    </row>
    <row r="15" spans="1:4" s="27" customFormat="1" ht="13.5" customHeight="1">
      <c r="A15" s="47" t="s">
        <v>93</v>
      </c>
      <c r="B15" s="8">
        <f>+B5*15</f>
        <v>2625</v>
      </c>
      <c r="C15" s="8">
        <f>+C5*15</f>
        <v>3000</v>
      </c>
      <c r="D15" s="36" t="s">
        <v>129</v>
      </c>
    </row>
    <row r="16" spans="1:4" s="27" customFormat="1" ht="13.5" customHeight="1">
      <c r="A16" s="47" t="s">
        <v>156</v>
      </c>
      <c r="B16" s="8">
        <f>36*180*100</f>
        <v>648000</v>
      </c>
      <c r="C16" s="8">
        <f>36*180*100</f>
        <v>648000</v>
      </c>
      <c r="D16" s="36" t="s">
        <v>182</v>
      </c>
    </row>
    <row r="17" spans="1:4" s="27" customFormat="1" ht="13.5" customHeight="1">
      <c r="A17" s="47" t="s">
        <v>107</v>
      </c>
      <c r="B17" s="8">
        <f>44*50*80</f>
        <v>176000</v>
      </c>
      <c r="C17" s="8">
        <f>44*50*80</f>
        <v>176000</v>
      </c>
      <c r="D17" s="36" t="s">
        <v>171</v>
      </c>
    </row>
    <row r="18" spans="1:4" s="27" customFormat="1" ht="13.5" customHeight="1">
      <c r="A18" s="47" t="s">
        <v>80</v>
      </c>
      <c r="B18" s="21">
        <f>+B5*579*0.15</f>
        <v>15198.75</v>
      </c>
      <c r="C18" s="21">
        <f>+C5*579*0.15</f>
        <v>17370</v>
      </c>
      <c r="D18" s="36"/>
    </row>
    <row r="19" spans="1:3" s="27" customFormat="1" ht="13.5" customHeight="1">
      <c r="A19" s="47" t="s">
        <v>92</v>
      </c>
      <c r="B19" s="53">
        <f>SUM(B8:B18)</f>
        <v>3048357.4</v>
      </c>
      <c r="C19" s="53">
        <f>SUM(C8:C18)</f>
        <v>3263314.6</v>
      </c>
    </row>
    <row r="20" spans="1:3" s="20" customFormat="1" ht="13.5" customHeight="1">
      <c r="A20" s="28" t="s">
        <v>4</v>
      </c>
      <c r="B20" s="6"/>
      <c r="C20" s="6"/>
    </row>
    <row r="21" spans="1:3" s="20" customFormat="1" ht="9.75">
      <c r="A21" s="28" t="s">
        <v>5</v>
      </c>
      <c r="B21" s="6"/>
      <c r="C21" s="6"/>
    </row>
    <row r="22" spans="1:3" s="20" customFormat="1" ht="11.25" customHeight="1">
      <c r="A22" s="5" t="s">
        <v>81</v>
      </c>
      <c r="B22" s="8">
        <f>+PCR!$G$19</f>
        <v>478500</v>
      </c>
      <c r="C22" s="8">
        <f>+PCR!$G$19</f>
        <v>478500</v>
      </c>
    </row>
    <row r="23" spans="1:3" s="20" customFormat="1" ht="11.25" customHeight="1">
      <c r="A23" s="5" t="s">
        <v>160</v>
      </c>
      <c r="B23" s="8">
        <f>+PCR!$G$28</f>
        <v>50000</v>
      </c>
      <c r="C23" s="8">
        <f>+PCR!$G$28</f>
        <v>50000</v>
      </c>
    </row>
    <row r="24" spans="1:3" s="20" customFormat="1" ht="11.25" customHeight="1">
      <c r="A24" s="5" t="s">
        <v>109</v>
      </c>
      <c r="B24" s="8">
        <f>+PCR!$G$24</f>
        <v>100000</v>
      </c>
      <c r="C24" s="8">
        <f>+PCR!$G$24</f>
        <v>100000</v>
      </c>
    </row>
    <row r="25" spans="1:3" s="20" customFormat="1" ht="11.25" customHeight="1">
      <c r="A25" s="5" t="s">
        <v>62</v>
      </c>
      <c r="B25" s="8">
        <f>+PCR!$G$46</f>
        <v>90000</v>
      </c>
      <c r="C25" s="8">
        <f>+PCR!$G$46</f>
        <v>90000</v>
      </c>
    </row>
    <row r="26" spans="1:3" s="20" customFormat="1" ht="11.25" customHeight="1">
      <c r="A26" s="5" t="s">
        <v>135</v>
      </c>
      <c r="B26" s="8">
        <f>+PCR!$G$47</f>
        <v>72500</v>
      </c>
      <c r="C26" s="8">
        <f>+PCR!$G$47</f>
        <v>72500</v>
      </c>
    </row>
    <row r="27" spans="1:3" s="20" customFormat="1" ht="11.25" customHeight="1">
      <c r="A27" s="5" t="s">
        <v>82</v>
      </c>
      <c r="B27" s="8">
        <f>+PCR!$G$48</f>
        <v>37440</v>
      </c>
      <c r="C27" s="8">
        <f>+PCR!$G$48</f>
        <v>37440</v>
      </c>
    </row>
    <row r="28" spans="1:3" s="20" customFormat="1" ht="11.25" customHeight="1">
      <c r="A28" s="5" t="s">
        <v>83</v>
      </c>
      <c r="B28" s="8">
        <f>+PCR!$G$51</f>
        <v>31200</v>
      </c>
      <c r="C28" s="8">
        <f>+PCR!$G$51</f>
        <v>31200</v>
      </c>
    </row>
    <row r="29" spans="1:3" s="20" customFormat="1" ht="11.25" customHeight="1">
      <c r="A29" s="5" t="s">
        <v>133</v>
      </c>
      <c r="B29" s="8">
        <f>+PCR!$G$49+PCR!$G$50</f>
        <v>54080</v>
      </c>
      <c r="C29" s="8">
        <f>+PCR!$G$49+PCR!$G$50</f>
        <v>54080</v>
      </c>
    </row>
    <row r="30" spans="1:3" s="20" customFormat="1" ht="11.25" customHeight="1">
      <c r="A30" s="5" t="s">
        <v>132</v>
      </c>
      <c r="B30" s="8">
        <f>+PCR!$G$42</f>
        <v>354640</v>
      </c>
      <c r="C30" s="8">
        <f>+PCR!$G$42</f>
        <v>354640</v>
      </c>
    </row>
    <row r="31" spans="1:3" s="20" customFormat="1" ht="11.25" customHeight="1">
      <c r="A31" s="5" t="s">
        <v>134</v>
      </c>
      <c r="B31" s="8">
        <f>+PCR!$G$59</f>
        <v>151600</v>
      </c>
      <c r="C31" s="8">
        <f>+PCR!$G$59</f>
        <v>151600</v>
      </c>
    </row>
    <row r="32" spans="1:3" s="20" customFormat="1" ht="11.25" customHeight="1">
      <c r="A32" s="5" t="s">
        <v>136</v>
      </c>
      <c r="B32" s="8">
        <f>+PCR!G57</f>
        <v>50000</v>
      </c>
      <c r="C32" s="8">
        <f>+PCR!G57</f>
        <v>50000</v>
      </c>
    </row>
    <row r="33" spans="1:3" s="20" customFormat="1" ht="11.25" customHeight="1">
      <c r="A33" s="5" t="s">
        <v>137</v>
      </c>
      <c r="B33" s="8"/>
      <c r="C33" s="8"/>
    </row>
    <row r="34" spans="1:4" s="20" customFormat="1" ht="11.25" customHeight="1">
      <c r="A34" s="5" t="s">
        <v>52</v>
      </c>
      <c r="B34" s="8">
        <f>125*100</f>
        <v>12500</v>
      </c>
      <c r="C34" s="8">
        <f>125*100</f>
        <v>12500</v>
      </c>
      <c r="D34" s="20" t="s">
        <v>153</v>
      </c>
    </row>
    <row r="35" spans="1:4" s="20" customFormat="1" ht="11.25" customHeight="1">
      <c r="A35" s="5" t="s">
        <v>127</v>
      </c>
      <c r="B35" s="8">
        <f>6750*4</f>
        <v>27000</v>
      </c>
      <c r="C35" s="8">
        <f>6750*4</f>
        <v>27000</v>
      </c>
      <c r="D35" s="20" t="s">
        <v>130</v>
      </c>
    </row>
    <row r="36" spans="1:3" s="20" customFormat="1" ht="11.25" customHeight="1">
      <c r="A36" s="5" t="s">
        <v>166</v>
      </c>
      <c r="B36" s="8">
        <v>2500</v>
      </c>
      <c r="C36" s="8">
        <v>2500</v>
      </c>
    </row>
    <row r="37" spans="1:4" s="20" customFormat="1" ht="11.25" customHeight="1">
      <c r="A37" s="5" t="s">
        <v>106</v>
      </c>
      <c r="B37" s="8">
        <f>SUM(6*2500)+(6*1500)</f>
        <v>24000</v>
      </c>
      <c r="C37" s="8">
        <f>SUM(6*2500)+(6*1500)</f>
        <v>24000</v>
      </c>
      <c r="D37" s="20" t="s">
        <v>131</v>
      </c>
    </row>
    <row r="38" spans="1:7" s="20" customFormat="1" ht="9.75">
      <c r="A38" s="28" t="s">
        <v>6</v>
      </c>
      <c r="B38" s="7">
        <f>SUM(B22:B37)</f>
        <v>1535960</v>
      </c>
      <c r="C38" s="7">
        <f>SUM(C21:C37)</f>
        <v>1535960</v>
      </c>
      <c r="D38" s="34">
        <f>+B38/$B$19</f>
        <v>0.5038648027294962</v>
      </c>
      <c r="G38" s="27"/>
    </row>
    <row r="39" spans="1:3" s="20" customFormat="1" ht="13.5" customHeight="1">
      <c r="A39" s="28" t="s">
        <v>7</v>
      </c>
      <c r="B39" s="6"/>
      <c r="C39" s="6"/>
    </row>
    <row r="40" spans="1:3" s="20" customFormat="1" ht="9.75">
      <c r="A40" s="5" t="s">
        <v>8</v>
      </c>
      <c r="B40" s="8">
        <f>+B38*0.0765</f>
        <v>117500.94</v>
      </c>
      <c r="C40" s="8">
        <f>+C38*0.0765</f>
        <v>117500.94</v>
      </c>
    </row>
    <row r="41" spans="1:4" s="20" customFormat="1" ht="9.75">
      <c r="A41" s="5" t="s">
        <v>30</v>
      </c>
      <c r="B41" s="8"/>
      <c r="C41" s="8"/>
      <c r="D41" s="20" t="s">
        <v>84</v>
      </c>
    </row>
    <row r="42" spans="1:4" s="20" customFormat="1" ht="9.75">
      <c r="A42" s="5" t="s">
        <v>9</v>
      </c>
      <c r="B42" s="8">
        <f>231000*0.062</f>
        <v>14322</v>
      </c>
      <c r="C42" s="8"/>
      <c r="D42" s="20" t="s">
        <v>103</v>
      </c>
    </row>
    <row r="43" spans="1:3" s="20" customFormat="1" ht="9.75">
      <c r="A43" s="5" t="s">
        <v>10</v>
      </c>
      <c r="B43" s="8"/>
      <c r="C43" s="8"/>
    </row>
    <row r="44" spans="1:3" s="20" customFormat="1" ht="9.75">
      <c r="A44" s="5" t="s">
        <v>51</v>
      </c>
      <c r="B44" s="8"/>
      <c r="C44" s="8"/>
    </row>
    <row r="45" spans="1:3" s="20" customFormat="1" ht="9.75">
      <c r="A45" s="5" t="s">
        <v>11</v>
      </c>
      <c r="B45" s="8"/>
      <c r="C45" s="8"/>
    </row>
    <row r="46" spans="1:5" s="20" customFormat="1" ht="14.25" customHeight="1">
      <c r="A46" s="28" t="s">
        <v>12</v>
      </c>
      <c r="B46" s="7">
        <f>+B38*0.25</f>
        <v>383990</v>
      </c>
      <c r="C46" s="7">
        <f>+C38*0.25</f>
        <v>383990</v>
      </c>
      <c r="D46" s="34">
        <f>+B46/B38</f>
        <v>0.25</v>
      </c>
      <c r="E46" s="27"/>
    </row>
    <row r="47" spans="1:3" s="20" customFormat="1" ht="14.25" customHeight="1">
      <c r="A47" s="28" t="s">
        <v>13</v>
      </c>
      <c r="B47" s="6"/>
      <c r="C47" s="6"/>
    </row>
    <row r="48" spans="1:4" s="20" customFormat="1" ht="9.75">
      <c r="A48" s="29" t="s">
        <v>31</v>
      </c>
      <c r="B48" s="8">
        <v>8000</v>
      </c>
      <c r="C48" s="8">
        <f>+B48</f>
        <v>8000</v>
      </c>
      <c r="D48" s="20" t="s">
        <v>157</v>
      </c>
    </row>
    <row r="49" spans="1:3" s="20" customFormat="1" ht="9.75">
      <c r="A49" s="5" t="s">
        <v>169</v>
      </c>
      <c r="B49" s="8">
        <v>10000</v>
      </c>
      <c r="C49" s="8">
        <v>10000</v>
      </c>
    </row>
    <row r="50" spans="1:4" s="20" customFormat="1" ht="9.75">
      <c r="A50" s="5" t="s">
        <v>85</v>
      </c>
      <c r="B50" s="8">
        <v>2000</v>
      </c>
      <c r="C50" s="8">
        <f>+B50</f>
        <v>2000</v>
      </c>
      <c r="D50" s="52"/>
    </row>
    <row r="51" spans="1:4" s="20" customFormat="1" ht="9.75">
      <c r="A51" s="5" t="s">
        <v>150</v>
      </c>
      <c r="B51" s="8">
        <v>30000</v>
      </c>
      <c r="C51" s="8">
        <v>30000</v>
      </c>
      <c r="D51" s="52"/>
    </row>
    <row r="52" spans="1:4" s="20" customFormat="1" ht="9.75">
      <c r="A52" s="5" t="s">
        <v>173</v>
      </c>
      <c r="B52" s="8">
        <v>10000</v>
      </c>
      <c r="C52" s="8">
        <v>10000</v>
      </c>
      <c r="D52" s="52"/>
    </row>
    <row r="53" spans="1:4" s="20" customFormat="1" ht="9.75">
      <c r="A53" s="5" t="s">
        <v>170</v>
      </c>
      <c r="B53" s="8">
        <v>25000</v>
      </c>
      <c r="C53" s="8">
        <v>25000</v>
      </c>
      <c r="D53" s="52"/>
    </row>
    <row r="54" spans="1:3" s="20" customFormat="1" ht="9.75">
      <c r="A54" s="5" t="s">
        <v>86</v>
      </c>
      <c r="B54" s="8">
        <v>17000</v>
      </c>
      <c r="C54" s="8">
        <f>+B54</f>
        <v>17000</v>
      </c>
    </row>
    <row r="55" spans="1:3" s="20" customFormat="1" ht="15" customHeight="1">
      <c r="A55" s="28" t="s">
        <v>14</v>
      </c>
      <c r="B55" s="7">
        <f>SUM(B48:B54)</f>
        <v>102000</v>
      </c>
      <c r="C55" s="7">
        <f>SUM(C48:C54)</f>
        <v>102000</v>
      </c>
    </row>
    <row r="56" spans="1:3" s="20" customFormat="1" ht="14.25" customHeight="1">
      <c r="A56" s="28" t="s">
        <v>15</v>
      </c>
      <c r="B56" s="6"/>
      <c r="C56" s="6"/>
    </row>
    <row r="57" spans="1:3" s="20" customFormat="1" ht="11.25" customHeight="1">
      <c r="A57" s="5" t="s">
        <v>140</v>
      </c>
      <c r="B57" s="6">
        <v>22500</v>
      </c>
      <c r="C57" s="6">
        <v>22500</v>
      </c>
    </row>
    <row r="58" spans="1:4" s="20" customFormat="1" ht="9.75">
      <c r="A58" s="5" t="s">
        <v>141</v>
      </c>
      <c r="B58" s="21">
        <v>12500</v>
      </c>
      <c r="C58" s="21">
        <v>12500</v>
      </c>
      <c r="D58" s="52"/>
    </row>
    <row r="59" spans="1:3" s="20" customFormat="1" ht="15" customHeight="1">
      <c r="A59" s="28" t="s">
        <v>16</v>
      </c>
      <c r="B59" s="21">
        <f>SUM(B57:B58)</f>
        <v>35000</v>
      </c>
      <c r="C59" s="21">
        <f>SUM(C57:C58)</f>
        <v>35000</v>
      </c>
    </row>
    <row r="60" spans="1:5" s="20" customFormat="1" ht="13.5" customHeight="1">
      <c r="A60" s="28" t="s">
        <v>17</v>
      </c>
      <c r="B60" s="7">
        <f>SUM(B59+B55+B46+B38)</f>
        <v>2056950</v>
      </c>
      <c r="C60" s="7">
        <f>SUM(C59+C55+C46+C38)</f>
        <v>2056950</v>
      </c>
      <c r="D60" s="34">
        <f>+B60/B19</f>
        <v>0.6747732401719038</v>
      </c>
      <c r="E60" s="27"/>
    </row>
    <row r="61" spans="1:3" s="20" customFormat="1" ht="14.25" customHeight="1">
      <c r="A61" s="28" t="s">
        <v>18</v>
      </c>
      <c r="B61" s="6"/>
      <c r="C61" s="6"/>
    </row>
    <row r="62" spans="1:3" s="20" customFormat="1" ht="9.75">
      <c r="A62" s="5" t="s">
        <v>142</v>
      </c>
      <c r="B62" s="8">
        <v>120000</v>
      </c>
      <c r="C62" s="8">
        <v>120000</v>
      </c>
    </row>
    <row r="63" spans="1:3" s="20" customFormat="1" ht="9.75">
      <c r="A63" s="5" t="s">
        <v>143</v>
      </c>
      <c r="B63" s="8">
        <v>40557</v>
      </c>
      <c r="C63" s="8">
        <v>40557</v>
      </c>
    </row>
    <row r="64" spans="1:3" s="20" customFormat="1" ht="9.75">
      <c r="A64" s="5" t="s">
        <v>19</v>
      </c>
      <c r="B64" s="8">
        <v>12291</v>
      </c>
      <c r="C64" s="8">
        <v>12291</v>
      </c>
    </row>
    <row r="65" spans="1:3" s="20" customFormat="1" ht="9.75">
      <c r="A65" s="5" t="s">
        <v>138</v>
      </c>
      <c r="B65" s="8">
        <v>35910</v>
      </c>
      <c r="C65" s="8">
        <v>35910</v>
      </c>
    </row>
    <row r="66" spans="1:3" s="20" customFormat="1" ht="9.75">
      <c r="A66" s="5" t="s">
        <v>20</v>
      </c>
      <c r="B66" s="8">
        <f>52320*1.05</f>
        <v>54936</v>
      </c>
      <c r="C66" s="8">
        <f>52320*1.05</f>
        <v>54936</v>
      </c>
    </row>
    <row r="67" spans="1:3" s="20" customFormat="1" ht="15" customHeight="1">
      <c r="A67" s="28" t="s">
        <v>21</v>
      </c>
      <c r="B67" s="7">
        <f>SUM(B62:B66)</f>
        <v>263694</v>
      </c>
      <c r="C67" s="7">
        <f>SUM(C62:C66)</f>
        <v>263694</v>
      </c>
    </row>
    <row r="68" spans="1:3" s="20" customFormat="1" ht="15" customHeight="1">
      <c r="A68" s="28" t="s">
        <v>144</v>
      </c>
      <c r="B68" s="8"/>
      <c r="C68" s="8"/>
    </row>
    <row r="69" spans="1:3" s="20" customFormat="1" ht="11.25" customHeight="1">
      <c r="A69" s="5" t="s">
        <v>145</v>
      </c>
      <c r="B69" s="8">
        <v>5600</v>
      </c>
      <c r="C69" s="8">
        <v>5600</v>
      </c>
    </row>
    <row r="70" spans="1:3" s="20" customFormat="1" ht="11.25" customHeight="1">
      <c r="A70" s="5" t="s">
        <v>146</v>
      </c>
      <c r="B70" s="8">
        <v>5802</v>
      </c>
      <c r="C70" s="8">
        <v>5802</v>
      </c>
    </row>
    <row r="71" spans="1:3" s="20" customFormat="1" ht="11.25" customHeight="1">
      <c r="A71" s="5" t="s">
        <v>147</v>
      </c>
      <c r="B71" s="8">
        <v>9000</v>
      </c>
      <c r="C71" s="8">
        <v>9000</v>
      </c>
    </row>
    <row r="72" spans="1:3" s="20" customFormat="1" ht="11.25" customHeight="1">
      <c r="A72" s="5" t="s">
        <v>139</v>
      </c>
      <c r="B72" s="8">
        <f>325*180*4</f>
        <v>234000</v>
      </c>
      <c r="C72" s="8">
        <f>325*180*4</f>
        <v>234000</v>
      </c>
    </row>
    <row r="73" spans="1:3" s="20" customFormat="1" ht="11.25" customHeight="1">
      <c r="A73" s="28" t="s">
        <v>94</v>
      </c>
      <c r="B73" s="7">
        <f>SUM(B69:B72)</f>
        <v>254402</v>
      </c>
      <c r="C73" s="7">
        <f>SUM(C69:C72)</f>
        <v>254402</v>
      </c>
    </row>
    <row r="74" spans="1:3" s="20" customFormat="1" ht="12.75" customHeight="1">
      <c r="A74" s="28" t="s">
        <v>95</v>
      </c>
      <c r="B74" s="6"/>
      <c r="C74" s="6"/>
    </row>
    <row r="75" spans="1:3" s="20" customFormat="1" ht="12.75" customHeight="1">
      <c r="A75" s="5" t="s">
        <v>66</v>
      </c>
      <c r="B75" s="8">
        <v>28000</v>
      </c>
      <c r="C75" s="8">
        <v>28000</v>
      </c>
    </row>
    <row r="76" spans="1:3" s="20" customFormat="1" ht="12.75" customHeight="1">
      <c r="A76" s="5" t="s">
        <v>101</v>
      </c>
      <c r="B76" s="8">
        <f>6*300+1500+4000</f>
        <v>7300</v>
      </c>
      <c r="C76" s="8">
        <f>6*300+1500+4000</f>
        <v>7300</v>
      </c>
    </row>
    <row r="77" spans="1:3" s="20" customFormat="1" ht="12" customHeight="1">
      <c r="A77" s="5" t="s">
        <v>104</v>
      </c>
      <c r="B77" s="8">
        <f>100*B6</f>
        <v>20000</v>
      </c>
      <c r="C77" s="8">
        <f>100*C6</f>
        <v>22500</v>
      </c>
    </row>
    <row r="78" spans="1:3" s="20" customFormat="1" ht="9.75">
      <c r="A78" s="5" t="s">
        <v>105</v>
      </c>
      <c r="B78" s="8">
        <f>250*18</f>
        <v>4500</v>
      </c>
      <c r="C78" s="8">
        <f>250*18</f>
        <v>4500</v>
      </c>
    </row>
    <row r="79" spans="1:3" s="20" customFormat="1" ht="9.75">
      <c r="A79" s="5" t="s">
        <v>102</v>
      </c>
      <c r="B79" s="8">
        <f>3*175*12</f>
        <v>6300</v>
      </c>
      <c r="C79" s="8">
        <f>3*175*12</f>
        <v>6300</v>
      </c>
    </row>
    <row r="80" spans="1:3" s="20" customFormat="1" ht="9.75">
      <c r="A80" s="20" t="s">
        <v>90</v>
      </c>
      <c r="B80" s="8">
        <v>21646</v>
      </c>
      <c r="C80" s="8">
        <v>21646</v>
      </c>
    </row>
    <row r="81" spans="1:3" s="20" customFormat="1" ht="9.75">
      <c r="A81" s="20" t="s">
        <v>151</v>
      </c>
      <c r="B81" s="8">
        <f>5000*2</f>
        <v>10000</v>
      </c>
      <c r="C81" s="8">
        <f>5000*2</f>
        <v>10000</v>
      </c>
    </row>
    <row r="82" spans="1:3" s="20" customFormat="1" ht="9.75">
      <c r="A82" s="20" t="s">
        <v>175</v>
      </c>
      <c r="B82" s="8">
        <v>10000</v>
      </c>
      <c r="C82" s="8">
        <v>10000</v>
      </c>
    </row>
    <row r="83" spans="1:3" s="20" customFormat="1" ht="9.75">
      <c r="A83" s="20" t="s">
        <v>176</v>
      </c>
      <c r="B83" s="8">
        <v>3913</v>
      </c>
      <c r="C83" s="8">
        <v>3913</v>
      </c>
    </row>
    <row r="84" spans="1:3" s="20" customFormat="1" ht="9.75">
      <c r="A84" s="20" t="s">
        <v>177</v>
      </c>
      <c r="B84" s="8">
        <v>10000</v>
      </c>
      <c r="C84" s="8">
        <v>10000</v>
      </c>
    </row>
    <row r="85" spans="1:3" s="20" customFormat="1" ht="9.75">
      <c r="A85" s="20" t="s">
        <v>178</v>
      </c>
      <c r="B85" s="8">
        <v>10000</v>
      </c>
      <c r="C85" s="8">
        <v>10000</v>
      </c>
    </row>
    <row r="86" spans="1:3" s="20" customFormat="1" ht="9.75">
      <c r="A86" s="20" t="s">
        <v>179</v>
      </c>
      <c r="B86" s="8">
        <v>10867</v>
      </c>
      <c r="C86" s="8">
        <v>10867</v>
      </c>
    </row>
    <row r="87" spans="1:3" s="20" customFormat="1" ht="9.75">
      <c r="A87" s="20" t="s">
        <v>100</v>
      </c>
      <c r="B87" s="8">
        <v>4375</v>
      </c>
      <c r="C87" s="8">
        <v>4375</v>
      </c>
    </row>
    <row r="88" spans="1:3" s="20" customFormat="1" ht="13.5" customHeight="1">
      <c r="A88" s="28" t="s">
        <v>96</v>
      </c>
      <c r="B88" s="7">
        <f>SUM(B75:B87)</f>
        <v>146901</v>
      </c>
      <c r="C88" s="7">
        <f>SUM(C75:C87)</f>
        <v>149401</v>
      </c>
    </row>
    <row r="89" spans="1:3" s="20" customFormat="1" ht="13.5" customHeight="1">
      <c r="A89" s="28" t="s">
        <v>97</v>
      </c>
      <c r="B89" s="8"/>
      <c r="C89" s="8"/>
    </row>
    <row r="90" spans="1:3" s="20" customFormat="1" ht="13.5" customHeight="1">
      <c r="A90" s="5" t="s">
        <v>98</v>
      </c>
      <c r="B90" s="8">
        <f>+B14</f>
        <v>120301.65</v>
      </c>
      <c r="C90" s="8">
        <f>+C14</f>
        <v>137487.6</v>
      </c>
    </row>
    <row r="91" spans="1:3" s="20" customFormat="1" ht="13.5" customHeight="1">
      <c r="A91" s="28" t="s">
        <v>99</v>
      </c>
      <c r="B91" s="7">
        <f>SUM(B90)</f>
        <v>120301.65</v>
      </c>
      <c r="C91" s="7">
        <f>SUM(C90)</f>
        <v>137487.6</v>
      </c>
    </row>
    <row r="92" spans="1:3" s="20" customFormat="1" ht="15" customHeight="1">
      <c r="A92" s="28" t="s">
        <v>22</v>
      </c>
      <c r="B92" s="6"/>
      <c r="C92" s="6"/>
    </row>
    <row r="93" spans="1:3" s="20" customFormat="1" ht="12" customHeight="1">
      <c r="A93" s="28" t="s">
        <v>54</v>
      </c>
      <c r="B93" s="6"/>
      <c r="C93" s="6"/>
    </row>
    <row r="94" spans="1:3" s="20" customFormat="1" ht="9.75">
      <c r="A94" s="5" t="s">
        <v>23</v>
      </c>
      <c r="B94" s="8">
        <v>2160</v>
      </c>
      <c r="C94" s="8">
        <v>2160</v>
      </c>
    </row>
    <row r="95" spans="1:3" s="20" customFormat="1" ht="9.75">
      <c r="A95" s="5" t="s">
        <v>181</v>
      </c>
      <c r="B95" s="8">
        <v>500</v>
      </c>
      <c r="C95" s="8">
        <v>500</v>
      </c>
    </row>
    <row r="96" spans="1:3" s="20" customFormat="1" ht="9.75">
      <c r="A96" s="5" t="s">
        <v>148</v>
      </c>
      <c r="B96" s="8">
        <v>2400</v>
      </c>
      <c r="C96" s="8">
        <v>2400</v>
      </c>
    </row>
    <row r="97" spans="1:3" s="20" customFormat="1" ht="9.75">
      <c r="A97" s="5" t="s">
        <v>180</v>
      </c>
      <c r="B97" s="8">
        <v>3500</v>
      </c>
      <c r="C97" s="8">
        <v>3500</v>
      </c>
    </row>
    <row r="98" spans="1:3" s="20" customFormat="1" ht="9.75">
      <c r="A98" s="5" t="s">
        <v>149</v>
      </c>
      <c r="B98" s="8">
        <v>6000</v>
      </c>
      <c r="C98" s="8">
        <v>6000</v>
      </c>
    </row>
    <row r="99" spans="1:3" s="20" customFormat="1" ht="9.75">
      <c r="A99" s="5" t="s">
        <v>65</v>
      </c>
      <c r="B99" s="8">
        <v>8736</v>
      </c>
      <c r="C99" s="8">
        <v>8736</v>
      </c>
    </row>
    <row r="100" spans="1:3" s="20" customFormat="1" ht="9.75">
      <c r="A100" s="5" t="s">
        <v>87</v>
      </c>
      <c r="B100" s="8">
        <f>SUM(B8+B9+B10+B17)*0.1</f>
        <v>183748.7</v>
      </c>
      <c r="C100" s="8">
        <f>SUM(C8+C9+C10+C17)*0.1</f>
        <v>203048.7</v>
      </c>
    </row>
    <row r="101" spans="1:3" s="20" customFormat="1" ht="9.75">
      <c r="A101" s="5" t="s">
        <v>174</v>
      </c>
      <c r="B101" s="8">
        <v>21260</v>
      </c>
      <c r="C101" s="8">
        <v>21260</v>
      </c>
    </row>
    <row r="102" spans="1:3" s="20" customFormat="1" ht="9.75">
      <c r="A102" s="5" t="s">
        <v>24</v>
      </c>
      <c r="B102" s="8">
        <f>1500*12</f>
        <v>18000</v>
      </c>
      <c r="C102" s="8">
        <f>1500*12</f>
        <v>18000</v>
      </c>
    </row>
    <row r="103" spans="1:3" s="20" customFormat="1" ht="14.25" customHeight="1">
      <c r="A103" s="28" t="s">
        <v>25</v>
      </c>
      <c r="B103" s="7">
        <f>SUM(B94:B102)</f>
        <v>246304.7</v>
      </c>
      <c r="C103" s="7">
        <f>SUM(C94:C102)</f>
        <v>265604.7</v>
      </c>
    </row>
    <row r="104" spans="1:4" s="20" customFormat="1" ht="13.5" customHeight="1">
      <c r="A104" s="28" t="s">
        <v>26</v>
      </c>
      <c r="B104" s="7">
        <f>+B103+B88+B67+B60+B73+B91</f>
        <v>3088553.35</v>
      </c>
      <c r="C104" s="7">
        <f>+C103+C88+C67+C60+C73+C91</f>
        <v>3127539.3000000003</v>
      </c>
      <c r="D104" s="27"/>
    </row>
    <row r="105" spans="1:3" s="5" customFormat="1" ht="15.75" customHeight="1" thickBot="1">
      <c r="A105" s="28" t="s">
        <v>88</v>
      </c>
      <c r="B105" s="50">
        <f>+B19-B104</f>
        <v>-40195.950000000186</v>
      </c>
      <c r="C105" s="50">
        <f>+C19-C104</f>
        <v>135775.2999999998</v>
      </c>
    </row>
    <row r="106" spans="2:3" ht="10.5" thickTop="1">
      <c r="B106" s="51"/>
      <c r="C106" s="51"/>
    </row>
    <row r="107" spans="2:3" ht="9.75">
      <c r="B107" s="51"/>
      <c r="C107" s="51"/>
    </row>
    <row r="108" spans="2:3" ht="9.75">
      <c r="B108" s="51"/>
      <c r="C108" s="51"/>
    </row>
    <row r="109" spans="2:3" ht="9.75">
      <c r="B109" s="51"/>
      <c r="C109" s="51"/>
    </row>
    <row r="110" spans="2:3" ht="9.75">
      <c r="B110" s="51"/>
      <c r="C110" s="51"/>
    </row>
    <row r="111" spans="2:3" ht="9.75">
      <c r="B111" s="51"/>
      <c r="C111" s="51"/>
    </row>
  </sheetData>
  <sheetProtection/>
  <printOptions gridLines="1" horizontalCentered="1"/>
  <pageMargins left="0" right="0" top="0.25" bottom="0.5" header="0.15" footer="0.1"/>
  <pageSetup fitToHeight="3" horizontalDpi="300" verticalDpi="300" orientation="landscape"/>
  <headerFooter alignWithMargins="0">
    <oddHeader>&amp;R&amp;D</oddHeader>
    <oddFooter>&amp;CCSAMonthlyBudget 2000-01.xls&amp;RPage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I63"/>
  <sheetViews>
    <sheetView workbookViewId="0" topLeftCell="B1">
      <selection activeCell="G8" sqref="G8"/>
    </sheetView>
  </sheetViews>
  <sheetFormatPr defaultColWidth="8.8515625" defaultRowHeight="12.75"/>
  <cols>
    <col min="1" max="1" width="10.00390625" style="0" hidden="1" customWidth="1"/>
    <col min="2" max="2" width="5.8515625" style="0" customWidth="1"/>
    <col min="3" max="3" width="19.8515625" style="0" customWidth="1"/>
    <col min="4" max="4" width="27.421875" style="0" customWidth="1"/>
    <col min="5" max="5" width="12.7109375" style="16" customWidth="1"/>
    <col min="6" max="6" width="12.7109375" style="0" hidden="1" customWidth="1"/>
    <col min="7" max="7" width="12.7109375" style="16" customWidth="1"/>
    <col min="8" max="9" width="9.28125" style="0" bestFit="1" customWidth="1"/>
  </cols>
  <sheetData>
    <row r="1" spans="2:7" ht="12">
      <c r="B1" s="74" t="s">
        <v>27</v>
      </c>
      <c r="C1" s="74"/>
      <c r="D1" s="74"/>
      <c r="E1" s="74"/>
      <c r="F1" s="74"/>
      <c r="G1" s="74"/>
    </row>
    <row r="2" spans="2:7" ht="12">
      <c r="B2" s="73"/>
      <c r="C2" s="73"/>
      <c r="D2" s="73"/>
      <c r="E2" s="73"/>
      <c r="F2" s="17"/>
      <c r="G2" s="38"/>
    </row>
    <row r="3" spans="2:7" ht="12">
      <c r="B3" s="17"/>
      <c r="C3" s="17"/>
      <c r="D3" s="17"/>
      <c r="E3" s="38" t="s">
        <v>0</v>
      </c>
      <c r="F3" s="17"/>
      <c r="G3" s="38" t="s">
        <v>72</v>
      </c>
    </row>
    <row r="4" spans="2:7" ht="12">
      <c r="B4" s="19"/>
      <c r="D4" s="14"/>
      <c r="E4" s="46" t="s">
        <v>28</v>
      </c>
      <c r="F4" s="30"/>
      <c r="G4" s="38" t="s">
        <v>28</v>
      </c>
    </row>
    <row r="5" spans="2:5" ht="12">
      <c r="B5" s="19"/>
      <c r="C5" s="18" t="s">
        <v>70</v>
      </c>
      <c r="E5" s="54"/>
    </row>
    <row r="6" spans="2:6" ht="12">
      <c r="B6" s="19"/>
      <c r="E6" s="55"/>
      <c r="F6" s="55"/>
    </row>
    <row r="7" spans="2:6" ht="12">
      <c r="B7" s="19"/>
      <c r="C7" s="18" t="s">
        <v>68</v>
      </c>
      <c r="E7" s="54"/>
      <c r="F7" s="54"/>
    </row>
    <row r="8" spans="2:7" ht="12">
      <c r="B8" s="19">
        <v>1</v>
      </c>
      <c r="C8" s="18"/>
      <c r="D8" s="24" t="s">
        <v>111</v>
      </c>
      <c r="E8" s="56">
        <f>+G8/12</f>
        <v>3625</v>
      </c>
      <c r="F8" s="56">
        <v>43500</v>
      </c>
      <c r="G8" s="16">
        <v>43500</v>
      </c>
    </row>
    <row r="9" spans="2:8" ht="12">
      <c r="B9" s="19">
        <f aca="true" t="shared" si="0" ref="B9:B17">+B8+1</f>
        <v>2</v>
      </c>
      <c r="C9" s="45"/>
      <c r="D9" s="24" t="s">
        <v>111</v>
      </c>
      <c r="E9" s="56">
        <f>+G9/12</f>
        <v>3625</v>
      </c>
      <c r="F9" s="56">
        <v>43500</v>
      </c>
      <c r="G9" s="16">
        <v>43500</v>
      </c>
      <c r="H9" s="24"/>
    </row>
    <row r="10" spans="2:7" ht="12">
      <c r="B10" s="42">
        <f t="shared" si="0"/>
        <v>3</v>
      </c>
      <c r="C10" s="18"/>
      <c r="D10" s="24" t="s">
        <v>112</v>
      </c>
      <c r="E10" s="56">
        <f aca="true" t="shared" si="1" ref="E10:E18">+G10/12</f>
        <v>3625</v>
      </c>
      <c r="F10" s="56">
        <v>43500</v>
      </c>
      <c r="G10" s="43">
        <v>43500</v>
      </c>
    </row>
    <row r="11" spans="2:7" ht="12">
      <c r="B11" s="19">
        <f t="shared" si="0"/>
        <v>4</v>
      </c>
      <c r="C11" s="18"/>
      <c r="D11" s="24" t="s">
        <v>161</v>
      </c>
      <c r="E11" s="56">
        <f t="shared" si="1"/>
        <v>3625</v>
      </c>
      <c r="F11" s="56">
        <v>45000</v>
      </c>
      <c r="G11" s="16">
        <v>43500</v>
      </c>
    </row>
    <row r="12" spans="2:7" ht="12">
      <c r="B12" s="19">
        <f t="shared" si="0"/>
        <v>5</v>
      </c>
      <c r="C12" s="18"/>
      <c r="D12" s="24" t="s">
        <v>113</v>
      </c>
      <c r="E12" s="56">
        <f t="shared" si="1"/>
        <v>3625</v>
      </c>
      <c r="F12" s="56">
        <v>43500</v>
      </c>
      <c r="G12" s="16">
        <f aca="true" t="shared" si="2" ref="G12:G18">+F12</f>
        <v>43500</v>
      </c>
    </row>
    <row r="13" spans="2:7" ht="12">
      <c r="B13" s="19">
        <f t="shared" si="0"/>
        <v>6</v>
      </c>
      <c r="C13" s="18"/>
      <c r="D13" s="24" t="s">
        <v>113</v>
      </c>
      <c r="E13" s="56">
        <f t="shared" si="1"/>
        <v>3625</v>
      </c>
      <c r="F13" s="56">
        <v>43500</v>
      </c>
      <c r="G13" s="16">
        <f t="shared" si="2"/>
        <v>43500</v>
      </c>
    </row>
    <row r="14" spans="2:7" ht="12">
      <c r="B14" s="19">
        <f t="shared" si="0"/>
        <v>7</v>
      </c>
      <c r="C14" s="18"/>
      <c r="D14" s="24" t="s">
        <v>162</v>
      </c>
      <c r="E14" s="56">
        <f t="shared" si="1"/>
        <v>3625</v>
      </c>
      <c r="F14" s="56">
        <v>43500</v>
      </c>
      <c r="G14" s="16">
        <f t="shared" si="2"/>
        <v>43500</v>
      </c>
    </row>
    <row r="15" spans="2:7" ht="12">
      <c r="B15" s="19">
        <f t="shared" si="0"/>
        <v>8</v>
      </c>
      <c r="C15" s="18"/>
      <c r="D15" s="24" t="s">
        <v>114</v>
      </c>
      <c r="E15" s="56">
        <f t="shared" si="1"/>
        <v>3625</v>
      </c>
      <c r="F15" s="56">
        <v>43500</v>
      </c>
      <c r="G15" s="16">
        <f t="shared" si="2"/>
        <v>43500</v>
      </c>
    </row>
    <row r="16" spans="2:9" ht="12">
      <c r="B16" s="19">
        <f t="shared" si="0"/>
        <v>9</v>
      </c>
      <c r="C16" s="18"/>
      <c r="D16" s="24" t="s">
        <v>115</v>
      </c>
      <c r="E16" s="56">
        <f t="shared" si="1"/>
        <v>3625</v>
      </c>
      <c r="F16" s="56">
        <v>43500</v>
      </c>
      <c r="G16" s="43">
        <f t="shared" si="2"/>
        <v>43500</v>
      </c>
      <c r="I16" s="16"/>
    </row>
    <row r="17" spans="2:9" ht="12">
      <c r="B17" s="19">
        <f t="shared" si="0"/>
        <v>10</v>
      </c>
      <c r="C17" s="18"/>
      <c r="D17" s="24" t="s">
        <v>114</v>
      </c>
      <c r="E17" s="56">
        <f t="shared" si="1"/>
        <v>3625</v>
      </c>
      <c r="F17" s="56">
        <v>43500</v>
      </c>
      <c r="G17" s="43">
        <f t="shared" si="2"/>
        <v>43500</v>
      </c>
      <c r="I17" s="16"/>
    </row>
    <row r="18" spans="2:9" ht="12">
      <c r="B18" s="44">
        <f>+B17+1</f>
        <v>11</v>
      </c>
      <c r="C18" s="18"/>
      <c r="D18" s="24" t="s">
        <v>163</v>
      </c>
      <c r="E18" s="57">
        <f t="shared" si="1"/>
        <v>3625</v>
      </c>
      <c r="F18" s="57">
        <v>43500</v>
      </c>
      <c r="G18" s="72">
        <f t="shared" si="2"/>
        <v>43500</v>
      </c>
      <c r="I18" s="16"/>
    </row>
    <row r="19" spans="2:7" ht="12">
      <c r="B19" s="19">
        <f>COUNTA(B8:B18)</f>
        <v>11</v>
      </c>
      <c r="C19" s="18"/>
      <c r="D19" s="24"/>
      <c r="E19" s="56">
        <f>SUM(E8:E18)</f>
        <v>39875</v>
      </c>
      <c r="F19" s="56">
        <f>SUM(F8:F18)</f>
        <v>480000</v>
      </c>
      <c r="G19" s="16">
        <f>SUM(G8:G18)</f>
        <v>478500</v>
      </c>
    </row>
    <row r="20" spans="2:6" ht="12">
      <c r="B20" s="19"/>
      <c r="C20" s="18"/>
      <c r="D20" s="24"/>
      <c r="E20" s="56"/>
      <c r="F20" s="56"/>
    </row>
    <row r="21" spans="2:6" ht="12">
      <c r="B21" s="19"/>
      <c r="C21" s="18"/>
      <c r="D21" s="24"/>
      <c r="E21" s="56"/>
      <c r="F21" s="56"/>
    </row>
    <row r="22" spans="2:7" ht="12">
      <c r="B22" s="19">
        <v>1</v>
      </c>
      <c r="C22" s="18"/>
      <c r="D22" s="24" t="s">
        <v>116</v>
      </c>
      <c r="E22" s="59">
        <f>+F22/12</f>
        <v>4166.666666666667</v>
      </c>
      <c r="F22" s="59">
        <v>50000</v>
      </c>
      <c r="G22" s="16">
        <f>+F22</f>
        <v>50000</v>
      </c>
    </row>
    <row r="23" spans="2:7" ht="12">
      <c r="B23" s="44">
        <f>+B22+1</f>
        <v>2</v>
      </c>
      <c r="C23" s="18"/>
      <c r="D23" s="24" t="s">
        <v>116</v>
      </c>
      <c r="E23" s="57">
        <f>+F23/12</f>
        <v>4166.666666666667</v>
      </c>
      <c r="F23" s="57">
        <v>50000</v>
      </c>
      <c r="G23" s="22">
        <f>+F23</f>
        <v>50000</v>
      </c>
    </row>
    <row r="24" spans="2:7" ht="12">
      <c r="B24" s="19">
        <f>+B23</f>
        <v>2</v>
      </c>
      <c r="C24" s="24" t="s">
        <v>124</v>
      </c>
      <c r="E24" s="55">
        <f>SUM(E23)</f>
        <v>4166.666666666667</v>
      </c>
      <c r="F24" s="55">
        <f>SUM(F23)</f>
        <v>50000</v>
      </c>
      <c r="G24" s="16">
        <f>SUM(G22:G23)</f>
        <v>100000</v>
      </c>
    </row>
    <row r="25" spans="2:6" ht="12">
      <c r="B25" s="19"/>
      <c r="C25" s="24"/>
      <c r="E25" s="55"/>
      <c r="F25" s="55"/>
    </row>
    <row r="26" spans="2:6" ht="12">
      <c r="B26" s="19"/>
      <c r="C26" s="24" t="s">
        <v>69</v>
      </c>
      <c r="E26" s="55"/>
      <c r="F26" s="55"/>
    </row>
    <row r="27" spans="2:7" s="32" customFormat="1" ht="12">
      <c r="B27" s="44">
        <v>1</v>
      </c>
      <c r="C27" s="24"/>
      <c r="D27" s="24" t="s">
        <v>108</v>
      </c>
      <c r="E27" s="57">
        <f>+G27/12</f>
        <v>4166.666666666667</v>
      </c>
      <c r="F27" s="57">
        <v>50000</v>
      </c>
      <c r="G27" s="22">
        <f>+F27</f>
        <v>50000</v>
      </c>
    </row>
    <row r="28" spans="2:7" s="32" customFormat="1" ht="12">
      <c r="B28" s="19">
        <f>COUNT(B27:B27)</f>
        <v>1</v>
      </c>
      <c r="C28" s="24" t="s">
        <v>67</v>
      </c>
      <c r="D28"/>
      <c r="E28" s="55">
        <f>SUM(E27:E27)</f>
        <v>4166.666666666667</v>
      </c>
      <c r="F28" s="55">
        <f>SUM(F27:F27)</f>
        <v>50000</v>
      </c>
      <c r="G28" s="16">
        <f>SUM(G27:G27)</f>
        <v>50000</v>
      </c>
    </row>
    <row r="29" spans="2:7" s="32" customFormat="1" ht="12">
      <c r="B29" s="19"/>
      <c r="C29"/>
      <c r="D29"/>
      <c r="E29" s="58"/>
      <c r="F29" s="58"/>
      <c r="G29" s="33"/>
    </row>
    <row r="30" spans="2:7" s="32" customFormat="1" ht="12">
      <c r="B30" s="19"/>
      <c r="C30"/>
      <c r="D30"/>
      <c r="E30" s="58"/>
      <c r="F30" s="58"/>
      <c r="G30" s="33"/>
    </row>
    <row r="31" spans="2:7" s="32" customFormat="1" ht="12">
      <c r="B31" s="19"/>
      <c r="C31" s="18" t="s">
        <v>110</v>
      </c>
      <c r="E31" s="58"/>
      <c r="F31" s="58"/>
      <c r="G31" s="33"/>
    </row>
    <row r="32" spans="2:7" s="32" customFormat="1" ht="12">
      <c r="B32" s="19">
        <v>1</v>
      </c>
      <c r="C32" s="18"/>
      <c r="D32" s="24" t="s">
        <v>110</v>
      </c>
      <c r="E32" s="56">
        <f aca="true" t="shared" si="3" ref="E32:E41">+G32/12</f>
        <v>2686.6666666666665</v>
      </c>
      <c r="F32" s="56">
        <v>31000</v>
      </c>
      <c r="G32" s="33">
        <f>+F32*1.04</f>
        <v>32240</v>
      </c>
    </row>
    <row r="33" spans="2:7" s="32" customFormat="1" ht="12">
      <c r="B33" s="19">
        <f>1+B32</f>
        <v>2</v>
      </c>
      <c r="C33" s="18"/>
      <c r="D33" s="24" t="s">
        <v>110</v>
      </c>
      <c r="E33" s="56">
        <f t="shared" si="3"/>
        <v>2686.6666666666665</v>
      </c>
      <c r="F33" s="56">
        <v>31000</v>
      </c>
      <c r="G33" s="33">
        <f aca="true" t="shared" si="4" ref="G33:G41">+F33*1.04</f>
        <v>32240</v>
      </c>
    </row>
    <row r="34" spans="2:7" s="32" customFormat="1" ht="12">
      <c r="B34" s="19">
        <f>1+B33</f>
        <v>3</v>
      </c>
      <c r="C34" s="18"/>
      <c r="D34" s="24" t="s">
        <v>164</v>
      </c>
      <c r="E34" s="56">
        <f t="shared" si="3"/>
        <v>5373.333333333333</v>
      </c>
      <c r="F34" s="56">
        <v>62000</v>
      </c>
      <c r="G34" s="33">
        <f t="shared" si="4"/>
        <v>64480</v>
      </c>
    </row>
    <row r="35" spans="2:7" s="32" customFormat="1" ht="12">
      <c r="B35" s="19">
        <f>+B34+1</f>
        <v>4</v>
      </c>
      <c r="C35" s="18"/>
      <c r="D35" s="24" t="s">
        <v>110</v>
      </c>
      <c r="E35" s="56">
        <f>+G35/12</f>
        <v>2686.6666666666665</v>
      </c>
      <c r="F35" s="56">
        <v>31000</v>
      </c>
      <c r="G35" s="33">
        <f>+F35*1.04</f>
        <v>32240</v>
      </c>
    </row>
    <row r="36" spans="2:7" s="32" customFormat="1" ht="12">
      <c r="B36" s="19">
        <f>+B35+1</f>
        <v>5</v>
      </c>
      <c r="C36" s="18"/>
      <c r="D36" s="24" t="s">
        <v>110</v>
      </c>
      <c r="E36" s="56">
        <f>+G36/12</f>
        <v>2686.6666666666665</v>
      </c>
      <c r="F36" s="56">
        <v>31000</v>
      </c>
      <c r="G36" s="33">
        <f>+F36*1.04</f>
        <v>32240</v>
      </c>
    </row>
    <row r="37" spans="2:7" s="32" customFormat="1" ht="12">
      <c r="B37" s="19">
        <f>1+B36</f>
        <v>6</v>
      </c>
      <c r="C37" s="18"/>
      <c r="D37" s="24" t="s">
        <v>110</v>
      </c>
      <c r="E37" s="56">
        <f>+G37/12</f>
        <v>2686.6666666666665</v>
      </c>
      <c r="F37" s="56">
        <v>31000</v>
      </c>
      <c r="G37" s="33">
        <f>+F37*1.04</f>
        <v>32240</v>
      </c>
    </row>
    <row r="38" spans="2:7" s="32" customFormat="1" ht="12">
      <c r="B38" s="19">
        <f>+B37+1</f>
        <v>7</v>
      </c>
      <c r="C38" s="18"/>
      <c r="D38" s="24" t="s">
        <v>110</v>
      </c>
      <c r="E38" s="56">
        <f t="shared" si="3"/>
        <v>2686.6666666666665</v>
      </c>
      <c r="F38" s="56">
        <v>31000</v>
      </c>
      <c r="G38" s="33">
        <f t="shared" si="4"/>
        <v>32240</v>
      </c>
    </row>
    <row r="39" spans="2:7" s="32" customFormat="1" ht="12">
      <c r="B39" s="19">
        <f>+B38+1</f>
        <v>8</v>
      </c>
      <c r="C39" s="18"/>
      <c r="D39" s="24" t="s">
        <v>110</v>
      </c>
      <c r="E39" s="56">
        <f t="shared" si="3"/>
        <v>2686.6666666666665</v>
      </c>
      <c r="F39" s="56">
        <v>31000</v>
      </c>
      <c r="G39" s="33">
        <f t="shared" si="4"/>
        <v>32240</v>
      </c>
    </row>
    <row r="40" spans="2:7" s="32" customFormat="1" ht="12">
      <c r="B40" s="19">
        <f>+B39+1</f>
        <v>9</v>
      </c>
      <c r="C40" s="18"/>
      <c r="D40" s="24" t="s">
        <v>110</v>
      </c>
      <c r="E40" s="56">
        <f t="shared" si="3"/>
        <v>2686.6666666666665</v>
      </c>
      <c r="F40" s="56">
        <v>31000</v>
      </c>
      <c r="G40" s="33">
        <f t="shared" si="4"/>
        <v>32240</v>
      </c>
    </row>
    <row r="41" spans="2:7" ht="12">
      <c r="B41" s="44">
        <f>+B40+1</f>
        <v>10</v>
      </c>
      <c r="C41" s="24"/>
      <c r="D41" s="24" t="s">
        <v>110</v>
      </c>
      <c r="E41" s="57">
        <f t="shared" si="3"/>
        <v>2686.6666666666665</v>
      </c>
      <c r="F41" s="57">
        <v>31000</v>
      </c>
      <c r="G41" s="40">
        <f t="shared" si="4"/>
        <v>32240</v>
      </c>
    </row>
    <row r="42" spans="2:7" ht="12">
      <c r="B42" s="19">
        <f>COUNTA(B32:B41)</f>
        <v>10</v>
      </c>
      <c r="C42" s="24" t="s">
        <v>117</v>
      </c>
      <c r="D42" s="24"/>
      <c r="E42" s="58">
        <f>SUM(E32:E41)</f>
        <v>29553.333333333336</v>
      </c>
      <c r="F42" s="61">
        <f>SUM(F32:F41)</f>
        <v>341000</v>
      </c>
      <c r="G42" s="33">
        <f>SUM(G32:G41)</f>
        <v>354640</v>
      </c>
    </row>
    <row r="43" spans="2:7" ht="12">
      <c r="B43" s="19"/>
      <c r="E43" s="58"/>
      <c r="F43" s="58"/>
      <c r="G43" s="33"/>
    </row>
    <row r="44" spans="2:7" ht="12">
      <c r="B44" s="19"/>
      <c r="C44" s="18" t="s">
        <v>118</v>
      </c>
      <c r="E44" s="58"/>
      <c r="F44" s="58"/>
      <c r="G44" s="33"/>
    </row>
    <row r="45" spans="2:7" ht="12">
      <c r="B45" s="19"/>
      <c r="E45" s="58"/>
      <c r="F45" s="58"/>
      <c r="G45" s="33"/>
    </row>
    <row r="46" spans="2:7" ht="12">
      <c r="B46" s="19">
        <v>1</v>
      </c>
      <c r="C46" s="18"/>
      <c r="D46" t="s">
        <v>53</v>
      </c>
      <c r="E46" s="56">
        <f aca="true" t="shared" si="5" ref="E46:E51">+G46/12</f>
        <v>7500</v>
      </c>
      <c r="F46" s="56">
        <v>90000</v>
      </c>
      <c r="G46" s="16">
        <v>90000</v>
      </c>
    </row>
    <row r="47" spans="2:7" ht="12">
      <c r="B47" s="19">
        <f>+B46+1</f>
        <v>2</v>
      </c>
      <c r="C47" s="18"/>
      <c r="D47" s="24" t="s">
        <v>165</v>
      </c>
      <c r="E47" s="56">
        <f t="shared" si="5"/>
        <v>6041.666666666667</v>
      </c>
      <c r="F47" s="54">
        <v>63655</v>
      </c>
      <c r="G47" s="16">
        <v>72500</v>
      </c>
    </row>
    <row r="48" spans="2:7" ht="12">
      <c r="B48" s="19">
        <f>+B47+1</f>
        <v>3</v>
      </c>
      <c r="C48" s="18"/>
      <c r="D48" s="24" t="s">
        <v>34</v>
      </c>
      <c r="E48" s="56">
        <f t="shared" si="5"/>
        <v>3120</v>
      </c>
      <c r="F48" s="54">
        <v>36000</v>
      </c>
      <c r="G48" s="16">
        <f>+F48*1.04</f>
        <v>37440</v>
      </c>
    </row>
    <row r="49" spans="2:7" ht="12">
      <c r="B49" s="19">
        <f>+B48+1</f>
        <v>4</v>
      </c>
      <c r="C49" s="18"/>
      <c r="D49" s="24" t="s">
        <v>119</v>
      </c>
      <c r="E49" s="56">
        <f t="shared" si="5"/>
        <v>2163.2000000000003</v>
      </c>
      <c r="F49" s="54">
        <f>12*2080</f>
        <v>24960</v>
      </c>
      <c r="G49" s="16">
        <f>+F49*1.04</f>
        <v>25958.4</v>
      </c>
    </row>
    <row r="50" spans="2:7" ht="12">
      <c r="B50" s="19">
        <f>1+B49</f>
        <v>5</v>
      </c>
      <c r="C50" s="18"/>
      <c r="D50" s="24" t="s">
        <v>120</v>
      </c>
      <c r="E50" s="56">
        <f t="shared" si="5"/>
        <v>2343.4666666666667</v>
      </c>
      <c r="F50" s="54">
        <v>27040</v>
      </c>
      <c r="G50" s="16">
        <f>+F50*1.04</f>
        <v>28121.600000000002</v>
      </c>
    </row>
    <row r="51" spans="2:7" ht="12">
      <c r="B51" s="44">
        <f>1+B50</f>
        <v>6</v>
      </c>
      <c r="C51" s="18"/>
      <c r="D51" s="24" t="s">
        <v>71</v>
      </c>
      <c r="E51" s="57">
        <f t="shared" si="5"/>
        <v>2600</v>
      </c>
      <c r="F51" s="60">
        <v>30000</v>
      </c>
      <c r="G51" s="22">
        <f>+F51*1.04</f>
        <v>31200</v>
      </c>
    </row>
    <row r="52" spans="2:7" ht="12">
      <c r="B52" s="62">
        <f>COUNTA(B46:B51)</f>
        <v>6</v>
      </c>
      <c r="E52" s="63">
        <f>SUM(E46:E51)</f>
        <v>23768.333333333336</v>
      </c>
      <c r="F52" s="63">
        <f>SUM(F46:F51)</f>
        <v>271655</v>
      </c>
      <c r="G52" s="16">
        <f>SUM(G46:G51)</f>
        <v>285220</v>
      </c>
    </row>
    <row r="53" spans="2:6" ht="12">
      <c r="B53" s="62"/>
      <c r="E53" s="63"/>
      <c r="F53" s="63"/>
    </row>
    <row r="54" spans="2:6" ht="12">
      <c r="B54" s="62"/>
      <c r="E54" s="63"/>
      <c r="F54" s="63"/>
    </row>
    <row r="55" spans="3:6" ht="12">
      <c r="C55" s="18" t="s">
        <v>121</v>
      </c>
      <c r="E55" s="54"/>
      <c r="F55" s="54"/>
    </row>
    <row r="56" spans="2:9" ht="12">
      <c r="B56" s="42">
        <v>1</v>
      </c>
      <c r="C56" s="66"/>
      <c r="D56" s="67" t="s">
        <v>167</v>
      </c>
      <c r="E56" s="68">
        <f>+G56/12</f>
        <v>5000</v>
      </c>
      <c r="F56" s="68">
        <v>45000</v>
      </c>
      <c r="G56" s="69">
        <v>60000</v>
      </c>
      <c r="H56" s="32"/>
      <c r="I56" s="32"/>
    </row>
    <row r="57" spans="2:9" ht="12">
      <c r="B57" s="42"/>
      <c r="C57" s="66"/>
      <c r="D57" s="67" t="s">
        <v>168</v>
      </c>
      <c r="E57" s="68">
        <f>+G57/12</f>
        <v>4166.666666666667</v>
      </c>
      <c r="F57" s="68"/>
      <c r="G57" s="69">
        <v>50000</v>
      </c>
      <c r="H57" s="32"/>
      <c r="I57" s="32"/>
    </row>
    <row r="58" spans="2:7" ht="12">
      <c r="B58" s="44">
        <f>+B56+1</f>
        <v>2</v>
      </c>
      <c r="C58" s="24"/>
      <c r="D58" s="24" t="s">
        <v>122</v>
      </c>
      <c r="E58" s="54">
        <v>3600</v>
      </c>
      <c r="F58" s="60">
        <v>40000</v>
      </c>
      <c r="G58" s="22">
        <f>+F58*1.04</f>
        <v>41600</v>
      </c>
    </row>
    <row r="59" spans="2:7" ht="12">
      <c r="B59" s="19">
        <f>COUNTA(B56:B58)</f>
        <v>2</v>
      </c>
      <c r="D59" s="24"/>
      <c r="E59" s="54"/>
      <c r="F59" s="54">
        <f>SUM(F56:F58)</f>
        <v>85000</v>
      </c>
      <c r="G59" s="16">
        <f>SUM(G56:G58)</f>
        <v>151600</v>
      </c>
    </row>
    <row r="60" ht="12">
      <c r="E60" s="54"/>
    </row>
    <row r="61" spans="2:7" ht="12.75" thickBot="1">
      <c r="B61">
        <f>+B59+B52+B42+B28+B24+B19</f>
        <v>32</v>
      </c>
      <c r="C61" s="24" t="s">
        <v>123</v>
      </c>
      <c r="E61" s="54"/>
      <c r="F61" s="64">
        <f>+F59+F52+F42+F28+F24+F19</f>
        <v>1277655</v>
      </c>
      <c r="G61" s="65">
        <f>+G59+G52+G42+G28+G24+G19</f>
        <v>1419960</v>
      </c>
    </row>
    <row r="62" ht="12.75" thickTop="1">
      <c r="E62" s="54"/>
    </row>
    <row r="63" ht="12">
      <c r="E63" s="54"/>
    </row>
  </sheetData>
  <sheetProtection/>
  <mergeCells count="2">
    <mergeCell ref="B2:E2"/>
    <mergeCell ref="B1:G1"/>
  </mergeCells>
  <printOptions/>
  <pageMargins left="0.5" right="0.25" top="0.5" bottom="0.5" header="0.5" footer="0.5"/>
  <pageSetup horizontalDpi="600" verticalDpi="600" orientation="landscape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cfo</dc:creator>
  <cp:keywords/>
  <dc:description/>
  <cp:lastModifiedBy>Rebecca</cp:lastModifiedBy>
  <cp:lastPrinted>2009-12-24T20:03:04Z</cp:lastPrinted>
  <dcterms:created xsi:type="dcterms:W3CDTF">1997-11-25T22:03:13Z</dcterms:created>
  <dcterms:modified xsi:type="dcterms:W3CDTF">2013-06-19T16:17:42Z</dcterms:modified>
  <cp:category/>
  <cp:version/>
  <cp:contentType/>
  <cp:contentStatus/>
</cp:coreProperties>
</file>