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10" windowWidth="7485" windowHeight="3960" firstSheet="5" activeTab="5"/>
  </bookViews>
  <sheets>
    <sheet name="FC-SCH" sheetId="15" r:id="rId1"/>
    <sheet name="AC-SCH" sheetId="14" r:id="rId2"/>
    <sheet name="OP-SCH" sheetId="12" r:id="rId3"/>
    <sheet name="STF-SCH" sheetId="13" r:id="rId4"/>
    <sheet name="12-2013 Ret Emp" sheetId="23" r:id="rId5"/>
    <sheet name="SUM" sheetId="1" r:id="rId6"/>
    <sheet name="CAMP" sheetId="2" r:id="rId7"/>
    <sheet name="OLIVIER" sheetId="17" r:id="rId8"/>
    <sheet name="JEFF" sheetId="21" r:id="rId9"/>
    <sheet name="CMO" sheetId="9" r:id="rId10"/>
    <sheet name="AC-SVC" sheetId="3" r:id="rId11"/>
    <sheet name="PT" sheetId="4" r:id="rId12"/>
    <sheet name="CCLC" sheetId="5" r:id="rId13"/>
    <sheet name="DID" sheetId="6" r:id="rId14"/>
    <sheet name="FC" sheetId="8" r:id="rId15"/>
    <sheet name="FN" sheetId="7" r:id="rId16"/>
    <sheet name="FS" sheetId="11" r:id="rId17"/>
    <sheet name="HR" sheetId="22" r:id="rId18"/>
    <sheet name="IT" sheetId="10" r:id="rId19"/>
    <sheet name="NOTES" sheetId="16" r:id="rId20"/>
  </sheets>
  <definedNames>
    <definedName name="_xlnm._FilterDatabase" localSheetId="4" hidden="1">'12-2013 Ret Emp'!$A$4:$N$103</definedName>
    <definedName name="_xlnm.Print_Area" localSheetId="8">JEFF!$A$1:$AZ$194</definedName>
    <definedName name="_xlnm.Print_Area" localSheetId="5">SUM!$A$1:$Q$192</definedName>
    <definedName name="_xlnm.Print_Titles" localSheetId="14">FC!$6:$10</definedName>
    <definedName name="_xlnm.Print_Titles" localSheetId="15">FN!$7:$10</definedName>
    <definedName name="_xlnm.Print_Titles" localSheetId="16">FS!$5:$10</definedName>
    <definedName name="_xlnm.Print_Titles" localSheetId="17">HR!$7:$10</definedName>
    <definedName name="_xlnm.Print_Titles" localSheetId="18">IT!$7:$10</definedName>
    <definedName name="_xlnm.Print_Titles" localSheetId="8">JEFF!$7:$10</definedName>
    <definedName name="_xlnm.Print_Titles" localSheetId="5">SUM!$A:$B,SUM!$1:$10</definedName>
  </definedNames>
  <calcPr calcId="114210" fullCalcOnLoad="1"/>
</workbook>
</file>

<file path=xl/calcChain.xml><?xml version="1.0" encoding="utf-8"?>
<calcChain xmlns="http://schemas.openxmlformats.org/spreadsheetml/2006/main">
  <c r="E162" i="10"/>
  <c r="D162"/>
  <c r="D184"/>
  <c r="BL184" i="2"/>
  <c r="BK184"/>
  <c r="BH184"/>
  <c r="BG184"/>
  <c r="BE184"/>
  <c r="BD184"/>
  <c r="H184"/>
  <c r="G184"/>
  <c r="F184"/>
  <c r="E184"/>
  <c r="D184"/>
  <c r="BJ53"/>
  <c r="BJ54"/>
  <c r="BJ55"/>
  <c r="BJ56"/>
  <c r="BJ57"/>
  <c r="BJ58"/>
  <c r="BJ59"/>
  <c r="BJ60"/>
  <c r="BJ61"/>
  <c r="BJ62"/>
  <c r="BJ63"/>
  <c r="BJ64"/>
  <c r="BJ65"/>
  <c r="BJ66"/>
  <c r="BJ41"/>
  <c r="BJ42"/>
  <c r="BJ43"/>
  <c r="BJ44"/>
  <c r="BJ45"/>
  <c r="BJ46"/>
  <c r="BJ47"/>
  <c r="BJ48"/>
  <c r="BJ49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68"/>
  <c r="BJ184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41"/>
  <c r="BI42"/>
  <c r="BI43"/>
  <c r="BI44"/>
  <c r="BI45"/>
  <c r="BI46"/>
  <c r="BI47"/>
  <c r="BI48"/>
  <c r="BI49"/>
  <c r="BI53"/>
  <c r="BI54"/>
  <c r="BI55"/>
  <c r="BI56"/>
  <c r="BI57"/>
  <c r="BI58"/>
  <c r="BI59"/>
  <c r="BI60"/>
  <c r="BI61"/>
  <c r="BI62"/>
  <c r="BI63"/>
  <c r="BI64"/>
  <c r="BI65"/>
  <c r="BI66"/>
  <c r="BI68"/>
  <c r="BI184"/>
  <c r="BF53"/>
  <c r="BF54"/>
  <c r="BF55"/>
  <c r="BF56"/>
  <c r="BF57"/>
  <c r="BF58"/>
  <c r="BF59"/>
  <c r="BF60"/>
  <c r="BF61"/>
  <c r="BF62"/>
  <c r="BF63"/>
  <c r="BF64"/>
  <c r="BF65"/>
  <c r="BF66"/>
  <c r="BF41"/>
  <c r="BF42"/>
  <c r="BF43"/>
  <c r="BF44"/>
  <c r="BF45"/>
  <c r="BF46"/>
  <c r="BF47"/>
  <c r="BF48"/>
  <c r="BF49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68"/>
  <c r="BF184"/>
  <c r="C20"/>
  <c r="C38"/>
  <c r="C41"/>
  <c r="C49"/>
  <c r="C175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41"/>
  <c r="BA42"/>
  <c r="BA43"/>
  <c r="BA44"/>
  <c r="BA45"/>
  <c r="BA46"/>
  <c r="BA47"/>
  <c r="BA48"/>
  <c r="BA49"/>
  <c r="BA175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41"/>
  <c r="BB42"/>
  <c r="BB43"/>
  <c r="BB44"/>
  <c r="BB45"/>
  <c r="BB46"/>
  <c r="BB47"/>
  <c r="BB48"/>
  <c r="BB49"/>
  <c r="BB175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41"/>
  <c r="BC42"/>
  <c r="BC43"/>
  <c r="BC44"/>
  <c r="BC45"/>
  <c r="BC46"/>
  <c r="BC47"/>
  <c r="BC48"/>
  <c r="BC49"/>
  <c r="BC175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41"/>
  <c r="BD42"/>
  <c r="BD43"/>
  <c r="BD44"/>
  <c r="BD45"/>
  <c r="BD46"/>
  <c r="BD47"/>
  <c r="BD48"/>
  <c r="BD49"/>
  <c r="BD175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41"/>
  <c r="BE42"/>
  <c r="BE43"/>
  <c r="BE44"/>
  <c r="BE45"/>
  <c r="BE46"/>
  <c r="BE47"/>
  <c r="BE48"/>
  <c r="BE49"/>
  <c r="BE175"/>
  <c r="BF175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41"/>
  <c r="BG42"/>
  <c r="BG43"/>
  <c r="BG44"/>
  <c r="BG45"/>
  <c r="BG46"/>
  <c r="BG47"/>
  <c r="BG48"/>
  <c r="BG49"/>
  <c r="BG175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41"/>
  <c r="BH42"/>
  <c r="BH43"/>
  <c r="BH44"/>
  <c r="BH45"/>
  <c r="BH46"/>
  <c r="BH47"/>
  <c r="BH48"/>
  <c r="BH49"/>
  <c r="BH175"/>
  <c r="BI175"/>
  <c r="BJ175"/>
  <c r="BK13"/>
  <c r="BK14"/>
  <c r="BK15"/>
  <c r="D16" i="11"/>
  <c r="BK16" i="2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41"/>
  <c r="BK42"/>
  <c r="BK43"/>
  <c r="BK44"/>
  <c r="BK45"/>
  <c r="BK46"/>
  <c r="BK47"/>
  <c r="BK48"/>
  <c r="BK49"/>
  <c r="BK175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41"/>
  <c r="BL42"/>
  <c r="BL43"/>
  <c r="BL44"/>
  <c r="BL45"/>
  <c r="BL46"/>
  <c r="BL47"/>
  <c r="BL48"/>
  <c r="BL49"/>
  <c r="BL175"/>
  <c r="BN175"/>
  <c r="C21" i="17"/>
  <c r="C38"/>
  <c r="A2"/>
  <c r="C41"/>
  <c r="C49"/>
  <c r="C175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41"/>
  <c r="AA42"/>
  <c r="AA43"/>
  <c r="AA44"/>
  <c r="AA45"/>
  <c r="AA46"/>
  <c r="AA47"/>
  <c r="AA48"/>
  <c r="AA49"/>
  <c r="AA175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41"/>
  <c r="AB42"/>
  <c r="AB43"/>
  <c r="AB44"/>
  <c r="AB45"/>
  <c r="AB46"/>
  <c r="AB47"/>
  <c r="AB48"/>
  <c r="AB49"/>
  <c r="AB17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41"/>
  <c r="AC42"/>
  <c r="AC43"/>
  <c r="AC44"/>
  <c r="AC45"/>
  <c r="AC46"/>
  <c r="AC47"/>
  <c r="AC48"/>
  <c r="AC49"/>
  <c r="AC175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41"/>
  <c r="AD42"/>
  <c r="AD43"/>
  <c r="AD44"/>
  <c r="AD45"/>
  <c r="AD46"/>
  <c r="AD47"/>
  <c r="AD48"/>
  <c r="AD49"/>
  <c r="AD175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41"/>
  <c r="AE42"/>
  <c r="AE43"/>
  <c r="AE44"/>
  <c r="AE45"/>
  <c r="AE46"/>
  <c r="AE47"/>
  <c r="AE48"/>
  <c r="AE49"/>
  <c r="AE175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41"/>
  <c r="AF42"/>
  <c r="AF43"/>
  <c r="AF44"/>
  <c r="AF45"/>
  <c r="AF46"/>
  <c r="AF47"/>
  <c r="AF48"/>
  <c r="AF49"/>
  <c r="AF175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41"/>
  <c r="AG42"/>
  <c r="AG43"/>
  <c r="AG44"/>
  <c r="AG45"/>
  <c r="AG46"/>
  <c r="AG47"/>
  <c r="AG48"/>
  <c r="AG49"/>
  <c r="AG175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41"/>
  <c r="AH42"/>
  <c r="AH43"/>
  <c r="AH44"/>
  <c r="AH45"/>
  <c r="AH46"/>
  <c r="AH47"/>
  <c r="AH48"/>
  <c r="AH49"/>
  <c r="AH175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41"/>
  <c r="AI42"/>
  <c r="AI43"/>
  <c r="AI44"/>
  <c r="AI45"/>
  <c r="AI46"/>
  <c r="AI47"/>
  <c r="AI48"/>
  <c r="AI49"/>
  <c r="AI175"/>
  <c r="AK13"/>
  <c r="AK14"/>
  <c r="AK15"/>
  <c r="E16" i="11"/>
  <c r="AK16" i="17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41"/>
  <c r="AK42"/>
  <c r="AK43"/>
  <c r="AK44"/>
  <c r="AK45"/>
  <c r="AK46"/>
  <c r="AK47"/>
  <c r="AK48"/>
  <c r="AK49"/>
  <c r="AK175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41"/>
  <c r="AL42"/>
  <c r="AL43"/>
  <c r="AL44"/>
  <c r="AL45"/>
  <c r="AL46"/>
  <c r="AL47"/>
  <c r="AL48"/>
  <c r="AL49"/>
  <c r="AL175"/>
  <c r="AJ38"/>
  <c r="AJ49"/>
  <c r="AJ175"/>
  <c r="AN175"/>
  <c r="C14" i="21"/>
  <c r="C21"/>
  <c r="C38"/>
  <c r="C41"/>
  <c r="C49"/>
  <c r="C175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41"/>
  <c r="AN42"/>
  <c r="AN43"/>
  <c r="AN44"/>
  <c r="AN45"/>
  <c r="AN46"/>
  <c r="AN47"/>
  <c r="AN48"/>
  <c r="AN49"/>
  <c r="AN175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41"/>
  <c r="AO42"/>
  <c r="AO43"/>
  <c r="AO44"/>
  <c r="AO45"/>
  <c r="AO46"/>
  <c r="AO47"/>
  <c r="AO48"/>
  <c r="AO49"/>
  <c r="AO175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41"/>
  <c r="AP42"/>
  <c r="AP43"/>
  <c r="AP44"/>
  <c r="AP45"/>
  <c r="AP46"/>
  <c r="AP47"/>
  <c r="AP48"/>
  <c r="AP49"/>
  <c r="AP175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41"/>
  <c r="AQ42"/>
  <c r="AQ43"/>
  <c r="AQ44"/>
  <c r="AQ45"/>
  <c r="AQ46"/>
  <c r="AQ47"/>
  <c r="AQ48"/>
  <c r="AQ49"/>
  <c r="AQ175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41"/>
  <c r="AR42"/>
  <c r="AR43"/>
  <c r="AR44"/>
  <c r="AR45"/>
  <c r="AR46"/>
  <c r="AR47"/>
  <c r="AR48"/>
  <c r="AR49"/>
  <c r="AR175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41"/>
  <c r="AS42"/>
  <c r="AS43"/>
  <c r="AS44"/>
  <c r="AS45"/>
  <c r="AS46"/>
  <c r="AS47"/>
  <c r="AS48"/>
  <c r="AS49"/>
  <c r="AS175"/>
  <c r="AT175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41"/>
  <c r="AU42"/>
  <c r="AU43"/>
  <c r="AU44"/>
  <c r="AU45"/>
  <c r="AU46"/>
  <c r="AU47"/>
  <c r="AU48"/>
  <c r="AU49"/>
  <c r="AU175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41"/>
  <c r="AV42"/>
  <c r="AV43"/>
  <c r="AV44"/>
  <c r="AV45"/>
  <c r="AV46"/>
  <c r="AV47"/>
  <c r="AV48"/>
  <c r="AV49"/>
  <c r="AV175"/>
  <c r="AW13"/>
  <c r="AW14"/>
  <c r="AW15"/>
  <c r="F16" i="11"/>
  <c r="AW16" i="21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41"/>
  <c r="AW42"/>
  <c r="AW43"/>
  <c r="AW44"/>
  <c r="AW45"/>
  <c r="AW46"/>
  <c r="AW47"/>
  <c r="AW48"/>
  <c r="AW49"/>
  <c r="AW175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41"/>
  <c r="AX42"/>
  <c r="AX43"/>
  <c r="AX44"/>
  <c r="AX45"/>
  <c r="AX46"/>
  <c r="AX47"/>
  <c r="AX48"/>
  <c r="AX49"/>
  <c r="AX175"/>
  <c r="AZ175"/>
  <c r="C32" i="9"/>
  <c r="C38"/>
  <c r="C68"/>
  <c r="C184"/>
  <c r="C168" i="17"/>
  <c r="C167"/>
  <c r="B7" i="1"/>
  <c r="C138" i="2"/>
  <c r="C131"/>
  <c r="J7" i="7"/>
  <c r="C186" i="22"/>
  <c r="C171"/>
  <c r="C155"/>
  <c r="C150"/>
  <c r="C141"/>
  <c r="C133"/>
  <c r="C122"/>
  <c r="I80" i="23"/>
  <c r="C72" i="22"/>
  <c r="C77"/>
  <c r="C80"/>
  <c r="C90"/>
  <c r="C95"/>
  <c r="C96"/>
  <c r="C97"/>
  <c r="C98"/>
  <c r="C101"/>
  <c r="C102"/>
  <c r="C104"/>
  <c r="C88"/>
  <c r="C68"/>
  <c r="C66"/>
  <c r="C49"/>
  <c r="C38"/>
  <c r="H186" i="11"/>
  <c r="F186"/>
  <c r="E186"/>
  <c r="D186"/>
  <c r="C186"/>
  <c r="E164"/>
  <c r="E171"/>
  <c r="D164"/>
  <c r="D171"/>
  <c r="C171"/>
  <c r="H155"/>
  <c r="F155"/>
  <c r="E155"/>
  <c r="D155"/>
  <c r="C155"/>
  <c r="H150"/>
  <c r="F150"/>
  <c r="E150"/>
  <c r="D150"/>
  <c r="C150"/>
  <c r="H141"/>
  <c r="F141"/>
  <c r="E141"/>
  <c r="D141"/>
  <c r="C141"/>
  <c r="H133"/>
  <c r="F133"/>
  <c r="E133"/>
  <c r="D133"/>
  <c r="C133"/>
  <c r="H122"/>
  <c r="F122"/>
  <c r="E122"/>
  <c r="D122"/>
  <c r="C122"/>
  <c r="I98" i="23"/>
  <c r="C72" i="11"/>
  <c r="C80"/>
  <c r="D78"/>
  <c r="D80"/>
  <c r="E78"/>
  <c r="E80"/>
  <c r="F78"/>
  <c r="F80"/>
  <c r="H80"/>
  <c r="H90"/>
  <c r="C95"/>
  <c r="D95"/>
  <c r="E95"/>
  <c r="F95"/>
  <c r="H95"/>
  <c r="C96"/>
  <c r="D96"/>
  <c r="E96"/>
  <c r="F96"/>
  <c r="H96"/>
  <c r="C97"/>
  <c r="D97"/>
  <c r="E97"/>
  <c r="F97"/>
  <c r="H97"/>
  <c r="C98"/>
  <c r="D98"/>
  <c r="E98"/>
  <c r="F98"/>
  <c r="H98"/>
  <c r="C101"/>
  <c r="D101"/>
  <c r="E101"/>
  <c r="F101"/>
  <c r="H101"/>
  <c r="H102"/>
  <c r="H104"/>
  <c r="F90"/>
  <c r="F102"/>
  <c r="F104"/>
  <c r="E90"/>
  <c r="E102"/>
  <c r="E104"/>
  <c r="D90"/>
  <c r="D102"/>
  <c r="D104"/>
  <c r="C90"/>
  <c r="C102"/>
  <c r="C104"/>
  <c r="H88"/>
  <c r="F88"/>
  <c r="E88"/>
  <c r="D88"/>
  <c r="C88"/>
  <c r="C184" i="10"/>
  <c r="E184"/>
  <c r="F184"/>
  <c r="H184"/>
  <c r="C185"/>
  <c r="D185"/>
  <c r="E185"/>
  <c r="F185"/>
  <c r="H185"/>
  <c r="H186"/>
  <c r="D186"/>
  <c r="E186"/>
  <c r="F186"/>
  <c r="C186"/>
  <c r="F171"/>
  <c r="E171"/>
  <c r="D171"/>
  <c r="C171"/>
  <c r="H155"/>
  <c r="D155"/>
  <c r="E155"/>
  <c r="F155"/>
  <c r="C155"/>
  <c r="H150"/>
  <c r="F150"/>
  <c r="E150"/>
  <c r="D150"/>
  <c r="C150"/>
  <c r="H141"/>
  <c r="F141"/>
  <c r="E141"/>
  <c r="D141"/>
  <c r="C141"/>
  <c r="H133"/>
  <c r="F133"/>
  <c r="E133"/>
  <c r="D133"/>
  <c r="C133"/>
  <c r="H122"/>
  <c r="D122"/>
  <c r="E122"/>
  <c r="F122"/>
  <c r="C122"/>
  <c r="I73" i="23"/>
  <c r="C76" i="10"/>
  <c r="D76"/>
  <c r="E76"/>
  <c r="F76"/>
  <c r="H76"/>
  <c r="H80"/>
  <c r="H90"/>
  <c r="C80"/>
  <c r="C95"/>
  <c r="D80"/>
  <c r="D95"/>
  <c r="E80"/>
  <c r="E95"/>
  <c r="F80"/>
  <c r="F95"/>
  <c r="H95"/>
  <c r="C96"/>
  <c r="D96"/>
  <c r="E96"/>
  <c r="F96"/>
  <c r="H96"/>
  <c r="C97"/>
  <c r="D97"/>
  <c r="E97"/>
  <c r="F97"/>
  <c r="H97"/>
  <c r="C98"/>
  <c r="D98"/>
  <c r="E98"/>
  <c r="F98"/>
  <c r="H98"/>
  <c r="C101"/>
  <c r="D101"/>
  <c r="E101"/>
  <c r="F101"/>
  <c r="H101"/>
  <c r="H102"/>
  <c r="H104"/>
  <c r="F90"/>
  <c r="F102"/>
  <c r="F104"/>
  <c r="E90"/>
  <c r="E102"/>
  <c r="E104"/>
  <c r="D90"/>
  <c r="D102"/>
  <c r="D104"/>
  <c r="C90"/>
  <c r="C102"/>
  <c r="C104"/>
  <c r="H88"/>
  <c r="F88"/>
  <c r="E88"/>
  <c r="D88"/>
  <c r="C88"/>
  <c r="D146" i="9"/>
  <c r="E146"/>
  <c r="F146"/>
  <c r="G146"/>
  <c r="H146"/>
  <c r="I146"/>
  <c r="J146"/>
  <c r="K146"/>
  <c r="L146"/>
  <c r="M146"/>
  <c r="N146"/>
  <c r="O146"/>
  <c r="P146"/>
  <c r="Q146"/>
  <c r="R146"/>
  <c r="T146"/>
  <c r="L146" i="1"/>
  <c r="C58" i="10"/>
  <c r="BA146" i="2"/>
  <c r="BB146"/>
  <c r="BC146"/>
  <c r="BD146"/>
  <c r="BE146"/>
  <c r="BF146"/>
  <c r="BG146"/>
  <c r="BH146"/>
  <c r="BI146"/>
  <c r="BJ146"/>
  <c r="BK146"/>
  <c r="BL146"/>
  <c r="BN146"/>
  <c r="C146" i="1"/>
  <c r="D58" i="10"/>
  <c r="AA146" i="17"/>
  <c r="AB146"/>
  <c r="AC146"/>
  <c r="AD146"/>
  <c r="AE146"/>
  <c r="AF146"/>
  <c r="AG146"/>
  <c r="AH146"/>
  <c r="AI146"/>
  <c r="AK146"/>
  <c r="AL146"/>
  <c r="AN146"/>
  <c r="F146" i="1"/>
  <c r="E58" i="10"/>
  <c r="AN146" i="21"/>
  <c r="AO146"/>
  <c r="AP146"/>
  <c r="AQ146"/>
  <c r="AR146"/>
  <c r="AS146"/>
  <c r="AT146"/>
  <c r="AU146"/>
  <c r="AV146"/>
  <c r="AW146"/>
  <c r="AX146"/>
  <c r="AZ146"/>
  <c r="I146" i="1"/>
  <c r="F58" i="10"/>
  <c r="H58"/>
  <c r="H66"/>
  <c r="H68"/>
  <c r="F66"/>
  <c r="F68"/>
  <c r="E66"/>
  <c r="E68"/>
  <c r="D66"/>
  <c r="D68"/>
  <c r="C66"/>
  <c r="C68"/>
  <c r="H49"/>
  <c r="F49"/>
  <c r="E49"/>
  <c r="D49"/>
  <c r="C49"/>
  <c r="H38"/>
  <c r="D38"/>
  <c r="E38"/>
  <c r="F38"/>
  <c r="C38"/>
  <c r="F162"/>
  <c r="F108"/>
  <c r="E108"/>
  <c r="D108"/>
  <c r="C108"/>
  <c r="H7"/>
  <c r="H183"/>
  <c r="H182"/>
  <c r="H181"/>
  <c r="H180"/>
  <c r="H179"/>
  <c r="H178"/>
  <c r="H177"/>
  <c r="H176"/>
  <c r="H175"/>
  <c r="H170"/>
  <c r="H169"/>
  <c r="H168"/>
  <c r="H167"/>
  <c r="H166"/>
  <c r="H165"/>
  <c r="H164"/>
  <c r="H163"/>
  <c r="H161"/>
  <c r="H160"/>
  <c r="H159"/>
  <c r="H158"/>
  <c r="H154"/>
  <c r="H149"/>
  <c r="H148"/>
  <c r="H147"/>
  <c r="H146"/>
  <c r="H145"/>
  <c r="H144"/>
  <c r="H140"/>
  <c r="H139"/>
  <c r="H138"/>
  <c r="H137"/>
  <c r="H132"/>
  <c r="H131"/>
  <c r="H130"/>
  <c r="H129"/>
  <c r="H128"/>
  <c r="H127"/>
  <c r="H126"/>
  <c r="H125"/>
  <c r="H121"/>
  <c r="H120"/>
  <c r="H119"/>
  <c r="H118"/>
  <c r="H117"/>
  <c r="H116"/>
  <c r="H115"/>
  <c r="H114"/>
  <c r="H113"/>
  <c r="H112"/>
  <c r="H111"/>
  <c r="H110"/>
  <c r="H109"/>
  <c r="H100"/>
  <c r="H99"/>
  <c r="H94"/>
  <c r="H93"/>
  <c r="H87"/>
  <c r="H86"/>
  <c r="H84"/>
  <c r="H79"/>
  <c r="H78"/>
  <c r="H77"/>
  <c r="H75"/>
  <c r="H74"/>
  <c r="H73"/>
  <c r="H72"/>
  <c r="H65"/>
  <c r="H64"/>
  <c r="H63"/>
  <c r="H62"/>
  <c r="H61"/>
  <c r="H60"/>
  <c r="H59"/>
  <c r="H57"/>
  <c r="H56"/>
  <c r="H55"/>
  <c r="H54"/>
  <c r="H53"/>
  <c r="H48"/>
  <c r="H47"/>
  <c r="H46"/>
  <c r="H45"/>
  <c r="H44"/>
  <c r="H43"/>
  <c r="H42"/>
  <c r="H41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62"/>
  <c r="H171"/>
  <c r="H108"/>
  <c r="AS110" i="21"/>
  <c r="AF154" i="17"/>
  <c r="BF154" i="2"/>
  <c r="AS154" i="21"/>
  <c r="N168" i="9"/>
  <c r="N167"/>
  <c r="N158"/>
  <c r="BF168" i="2"/>
  <c r="BF167"/>
  <c r="BF158"/>
  <c r="AF168" i="17"/>
  <c r="AF167"/>
  <c r="AF158"/>
  <c r="AS168" i="21"/>
  <c r="AS167"/>
  <c r="AS158"/>
  <c r="D72" i="7"/>
  <c r="D77"/>
  <c r="AV169" i="21"/>
  <c r="AV162"/>
  <c r="AV158"/>
  <c r="AV154"/>
  <c r="AV110"/>
  <c r="AV86"/>
  <c r="H77" i="7"/>
  <c r="AV77" i="21"/>
  <c r="P74"/>
  <c r="O74"/>
  <c r="C42"/>
  <c r="F85" i="17"/>
  <c r="I62" i="23"/>
  <c r="G72" i="2"/>
  <c r="C121" i="9"/>
  <c r="C175"/>
  <c r="M185"/>
  <c r="M184"/>
  <c r="M183"/>
  <c r="M182"/>
  <c r="M181"/>
  <c r="M180"/>
  <c r="M179"/>
  <c r="M178"/>
  <c r="M177"/>
  <c r="M176"/>
  <c r="M175"/>
  <c r="M186"/>
  <c r="M170"/>
  <c r="M169"/>
  <c r="M168"/>
  <c r="M167"/>
  <c r="M166"/>
  <c r="M165"/>
  <c r="M164"/>
  <c r="M163"/>
  <c r="M162"/>
  <c r="M161"/>
  <c r="M160"/>
  <c r="M159"/>
  <c r="M158"/>
  <c r="M171"/>
  <c r="M154"/>
  <c r="M155"/>
  <c r="M149"/>
  <c r="M148"/>
  <c r="M147"/>
  <c r="M145"/>
  <c r="M144"/>
  <c r="M150"/>
  <c r="M140"/>
  <c r="M139"/>
  <c r="M138"/>
  <c r="M137"/>
  <c r="M141"/>
  <c r="M132"/>
  <c r="M131"/>
  <c r="M130"/>
  <c r="M129"/>
  <c r="M128"/>
  <c r="M127"/>
  <c r="M126"/>
  <c r="M125"/>
  <c r="M133"/>
  <c r="M121"/>
  <c r="M120"/>
  <c r="M119"/>
  <c r="M118"/>
  <c r="M117"/>
  <c r="M116"/>
  <c r="M115"/>
  <c r="M114"/>
  <c r="M113"/>
  <c r="M112"/>
  <c r="M111"/>
  <c r="M109"/>
  <c r="M108"/>
  <c r="M122"/>
  <c r="M99"/>
  <c r="M94"/>
  <c r="M93"/>
  <c r="M87"/>
  <c r="M86"/>
  <c r="M85"/>
  <c r="M84"/>
  <c r="M88"/>
  <c r="M79"/>
  <c r="M78"/>
  <c r="M77"/>
  <c r="M76"/>
  <c r="M75"/>
  <c r="M74"/>
  <c r="M73"/>
  <c r="M72"/>
  <c r="M80"/>
  <c r="M90"/>
  <c r="M65"/>
  <c r="M64"/>
  <c r="M63"/>
  <c r="M62"/>
  <c r="M61"/>
  <c r="M60"/>
  <c r="M59"/>
  <c r="M58"/>
  <c r="M57"/>
  <c r="M56"/>
  <c r="M55"/>
  <c r="M54"/>
  <c r="M53"/>
  <c r="M66"/>
  <c r="M41"/>
  <c r="M42"/>
  <c r="M43"/>
  <c r="M44"/>
  <c r="M45"/>
  <c r="M46"/>
  <c r="M47"/>
  <c r="M48"/>
  <c r="M49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68"/>
  <c r="C21" i="2"/>
  <c r="I108" i="9"/>
  <c r="I109"/>
  <c r="BJ169" i="2"/>
  <c r="BJ162"/>
  <c r="BJ158"/>
  <c r="BJ154"/>
  <c r="BJ110"/>
  <c r="BJ86"/>
  <c r="BL84"/>
  <c r="BL85"/>
  <c r="BL86"/>
  <c r="BL87"/>
  <c r="BL88"/>
  <c r="BL72"/>
  <c r="BL73"/>
  <c r="BL74"/>
  <c r="BL75"/>
  <c r="BL76"/>
  <c r="BL77"/>
  <c r="BL78"/>
  <c r="BL79"/>
  <c r="BL80"/>
  <c r="BL101"/>
  <c r="BL7"/>
  <c r="BL99"/>
  <c r="BL98"/>
  <c r="BL97"/>
  <c r="BL96"/>
  <c r="BL95"/>
  <c r="BL94"/>
  <c r="BL93"/>
  <c r="BK84"/>
  <c r="BK85"/>
  <c r="BK86"/>
  <c r="BK87"/>
  <c r="BK88"/>
  <c r="BK72"/>
  <c r="BK73"/>
  <c r="BK74"/>
  <c r="BK75"/>
  <c r="BK76"/>
  <c r="BK77"/>
  <c r="BK78"/>
  <c r="BK79"/>
  <c r="BK80"/>
  <c r="BK101"/>
  <c r="BK7"/>
  <c r="BK99"/>
  <c r="BK98"/>
  <c r="BK97"/>
  <c r="BK96"/>
  <c r="BK95"/>
  <c r="BK94"/>
  <c r="BK93"/>
  <c r="BJ99"/>
  <c r="BJ94"/>
  <c r="BJ93"/>
  <c r="BI84"/>
  <c r="BI85"/>
  <c r="BI86"/>
  <c r="BI87"/>
  <c r="BI88"/>
  <c r="BI72"/>
  <c r="BI73"/>
  <c r="BI74"/>
  <c r="BI75"/>
  <c r="BI76"/>
  <c r="BI77"/>
  <c r="D78" i="8"/>
  <c r="BI78" i="2"/>
  <c r="D79" i="8"/>
  <c r="BI79" i="2"/>
  <c r="BI80"/>
  <c r="BI101"/>
  <c r="BI7"/>
  <c r="BI99"/>
  <c r="BI98"/>
  <c r="BI97"/>
  <c r="BI96"/>
  <c r="BI95"/>
  <c r="BI94"/>
  <c r="BI93"/>
  <c r="BH84"/>
  <c r="BH85"/>
  <c r="BH86"/>
  <c r="BH87"/>
  <c r="BH88"/>
  <c r="BH72"/>
  <c r="BH73"/>
  <c r="BH74"/>
  <c r="BH75"/>
  <c r="BH76"/>
  <c r="BH77"/>
  <c r="BH78"/>
  <c r="BH79"/>
  <c r="BH80"/>
  <c r="BH101"/>
  <c r="BH99"/>
  <c r="BH98"/>
  <c r="BH97"/>
  <c r="BH96"/>
  <c r="BH95"/>
  <c r="BG84"/>
  <c r="BG85"/>
  <c r="BG86"/>
  <c r="BG87"/>
  <c r="BG88"/>
  <c r="BG72"/>
  <c r="BG73"/>
  <c r="BG74"/>
  <c r="BG75"/>
  <c r="BG76"/>
  <c r="BG77"/>
  <c r="BG78"/>
  <c r="BG79"/>
  <c r="BG80"/>
  <c r="BG101"/>
  <c r="BG99"/>
  <c r="BG98"/>
  <c r="BG97"/>
  <c r="BG96"/>
  <c r="BG95"/>
  <c r="BF84"/>
  <c r="BF85"/>
  <c r="BF86"/>
  <c r="BF87"/>
  <c r="BF88"/>
  <c r="BF72"/>
  <c r="BF73"/>
  <c r="BF74"/>
  <c r="BF75"/>
  <c r="BF76"/>
  <c r="BF77"/>
  <c r="BF78"/>
  <c r="BF79"/>
  <c r="BF80"/>
  <c r="BF101"/>
  <c r="BF99"/>
  <c r="BF98"/>
  <c r="BF97"/>
  <c r="BF96"/>
  <c r="BF95"/>
  <c r="BF94"/>
  <c r="BF93"/>
  <c r="BE84"/>
  <c r="BE85"/>
  <c r="BE86"/>
  <c r="BE87"/>
  <c r="BE88"/>
  <c r="BE72"/>
  <c r="I22" i="23"/>
  <c r="G73" i="3"/>
  <c r="BE73" i="2"/>
  <c r="BE74"/>
  <c r="BE75"/>
  <c r="BE76"/>
  <c r="BE77"/>
  <c r="BE78"/>
  <c r="BE79"/>
  <c r="BE80"/>
  <c r="BE101"/>
  <c r="BE99"/>
  <c r="BE98"/>
  <c r="BE97"/>
  <c r="BE96"/>
  <c r="BE95"/>
  <c r="BE94"/>
  <c r="BE93"/>
  <c r="BD84"/>
  <c r="BD85"/>
  <c r="BD86"/>
  <c r="BD87"/>
  <c r="BD88"/>
  <c r="BD72"/>
  <c r="BD73"/>
  <c r="BD74"/>
  <c r="BD75"/>
  <c r="I59" i="23"/>
  <c r="F76" i="3"/>
  <c r="BD76" i="2"/>
  <c r="BD77"/>
  <c r="BD78"/>
  <c r="BD79"/>
  <c r="BD80"/>
  <c r="BD101"/>
  <c r="BD99"/>
  <c r="BD98"/>
  <c r="BD97"/>
  <c r="BD96"/>
  <c r="BD95"/>
  <c r="BD94"/>
  <c r="BD93"/>
  <c r="BC84"/>
  <c r="BC85"/>
  <c r="BC86"/>
  <c r="BC87"/>
  <c r="BC88"/>
  <c r="BC72"/>
  <c r="BC73"/>
  <c r="BC74"/>
  <c r="I5" i="23"/>
  <c r="E75" i="3"/>
  <c r="BC75" i="2"/>
  <c r="BC76"/>
  <c r="BC77"/>
  <c r="BC78"/>
  <c r="BC79"/>
  <c r="BC80"/>
  <c r="BC101"/>
  <c r="BC99"/>
  <c r="BC98"/>
  <c r="BC97"/>
  <c r="BC96"/>
  <c r="BC95"/>
  <c r="BC94"/>
  <c r="BC93"/>
  <c r="BB84"/>
  <c r="BB85"/>
  <c r="BB86"/>
  <c r="BB87"/>
  <c r="BB88"/>
  <c r="BB72"/>
  <c r="BB73"/>
  <c r="BB74"/>
  <c r="I58" i="23"/>
  <c r="D75" i="3"/>
  <c r="BB75" i="2"/>
  <c r="BB76"/>
  <c r="BB77"/>
  <c r="BB78"/>
  <c r="BB79"/>
  <c r="BB80"/>
  <c r="BB101"/>
  <c r="BB99"/>
  <c r="BB98"/>
  <c r="BB97"/>
  <c r="BB96"/>
  <c r="BB95"/>
  <c r="BB94"/>
  <c r="BB93"/>
  <c r="I76" i="9"/>
  <c r="I77"/>
  <c r="I72"/>
  <c r="F154" i="10"/>
  <c r="E154"/>
  <c r="D154"/>
  <c r="C154"/>
  <c r="R7" i="9"/>
  <c r="P168"/>
  <c r="P158"/>
  <c r="P109"/>
  <c r="P73"/>
  <c r="I72" i="23"/>
  <c r="C72" i="3"/>
  <c r="P72" i="9"/>
  <c r="P185"/>
  <c r="P184"/>
  <c r="P183"/>
  <c r="P182"/>
  <c r="P181"/>
  <c r="P180"/>
  <c r="P179"/>
  <c r="P178"/>
  <c r="P177"/>
  <c r="P176"/>
  <c r="P175"/>
  <c r="P170"/>
  <c r="P169"/>
  <c r="P167"/>
  <c r="P166"/>
  <c r="P165"/>
  <c r="P164"/>
  <c r="P163"/>
  <c r="P162"/>
  <c r="P161"/>
  <c r="P160"/>
  <c r="P159"/>
  <c r="P154"/>
  <c r="P149"/>
  <c r="P148"/>
  <c r="P147"/>
  <c r="P145"/>
  <c r="P144"/>
  <c r="P140"/>
  <c r="P139"/>
  <c r="P138"/>
  <c r="P137"/>
  <c r="P132"/>
  <c r="P131"/>
  <c r="P130"/>
  <c r="P129"/>
  <c r="P128"/>
  <c r="P127"/>
  <c r="P126"/>
  <c r="P125"/>
  <c r="P121"/>
  <c r="P120"/>
  <c r="P119"/>
  <c r="P118"/>
  <c r="P117"/>
  <c r="P116"/>
  <c r="P115"/>
  <c r="P114"/>
  <c r="P113"/>
  <c r="P112"/>
  <c r="P111"/>
  <c r="P108"/>
  <c r="P110"/>
  <c r="P122"/>
  <c r="P87"/>
  <c r="P86"/>
  <c r="P84"/>
  <c r="P85"/>
  <c r="P88"/>
  <c r="P83"/>
  <c r="P79"/>
  <c r="P78"/>
  <c r="P77"/>
  <c r="P76"/>
  <c r="P75"/>
  <c r="P74"/>
  <c r="P65"/>
  <c r="P64"/>
  <c r="P63"/>
  <c r="P62"/>
  <c r="P61"/>
  <c r="P60"/>
  <c r="P59"/>
  <c r="P58"/>
  <c r="P57"/>
  <c r="P56"/>
  <c r="P55"/>
  <c r="P54"/>
  <c r="P53"/>
  <c r="P66"/>
  <c r="P48"/>
  <c r="P47"/>
  <c r="P46"/>
  <c r="P45"/>
  <c r="P44"/>
  <c r="P43"/>
  <c r="P42"/>
  <c r="P41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71"/>
  <c r="P155"/>
  <c r="P99"/>
  <c r="P94"/>
  <c r="P93"/>
  <c r="P49"/>
  <c r="AN73" i="21"/>
  <c r="AA73" i="17"/>
  <c r="BA73" i="2"/>
  <c r="L13" i="9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41"/>
  <c r="L42"/>
  <c r="L43"/>
  <c r="L44"/>
  <c r="L45"/>
  <c r="L46"/>
  <c r="L47"/>
  <c r="L48"/>
  <c r="L53"/>
  <c r="L54"/>
  <c r="L55"/>
  <c r="L56"/>
  <c r="L57"/>
  <c r="L58"/>
  <c r="L59"/>
  <c r="L60"/>
  <c r="L61"/>
  <c r="L62"/>
  <c r="L63"/>
  <c r="L64"/>
  <c r="L65"/>
  <c r="L72"/>
  <c r="L73"/>
  <c r="L74"/>
  <c r="L75"/>
  <c r="L76"/>
  <c r="G77" i="7"/>
  <c r="L77" i="9"/>
  <c r="L78"/>
  <c r="L79"/>
  <c r="L84"/>
  <c r="L85"/>
  <c r="L86"/>
  <c r="L87"/>
  <c r="L93"/>
  <c r="L94"/>
  <c r="L99"/>
  <c r="L108"/>
  <c r="L109"/>
  <c r="L111"/>
  <c r="L112"/>
  <c r="L113"/>
  <c r="L114"/>
  <c r="L115"/>
  <c r="L116"/>
  <c r="L117"/>
  <c r="L118"/>
  <c r="L119"/>
  <c r="L120"/>
  <c r="L121"/>
  <c r="L125"/>
  <c r="L126"/>
  <c r="L127"/>
  <c r="L128"/>
  <c r="L129"/>
  <c r="L130"/>
  <c r="L131"/>
  <c r="L132"/>
  <c r="L137"/>
  <c r="L138"/>
  <c r="L139"/>
  <c r="L140"/>
  <c r="L141"/>
  <c r="L144"/>
  <c r="L145"/>
  <c r="L147"/>
  <c r="L148"/>
  <c r="L149"/>
  <c r="L154"/>
  <c r="L155"/>
  <c r="L158"/>
  <c r="L159"/>
  <c r="L160"/>
  <c r="L161"/>
  <c r="L162"/>
  <c r="L163"/>
  <c r="L164"/>
  <c r="L165"/>
  <c r="L166"/>
  <c r="L167"/>
  <c r="L168"/>
  <c r="L169"/>
  <c r="L170"/>
  <c r="L175"/>
  <c r="L176"/>
  <c r="L177"/>
  <c r="L178"/>
  <c r="L179"/>
  <c r="L180"/>
  <c r="L181"/>
  <c r="L182"/>
  <c r="L183"/>
  <c r="L184"/>
  <c r="L185"/>
  <c r="K185"/>
  <c r="K184"/>
  <c r="K183"/>
  <c r="K182"/>
  <c r="K181"/>
  <c r="K180"/>
  <c r="K179"/>
  <c r="K178"/>
  <c r="K177"/>
  <c r="K176"/>
  <c r="K175"/>
  <c r="K170"/>
  <c r="K169"/>
  <c r="K168"/>
  <c r="K167"/>
  <c r="K166"/>
  <c r="K165"/>
  <c r="K164"/>
  <c r="K163"/>
  <c r="K162"/>
  <c r="K161"/>
  <c r="K160"/>
  <c r="K159"/>
  <c r="K158"/>
  <c r="K154"/>
  <c r="K155"/>
  <c r="K149"/>
  <c r="K148"/>
  <c r="K147"/>
  <c r="K145"/>
  <c r="K144"/>
  <c r="K150"/>
  <c r="K140"/>
  <c r="K139"/>
  <c r="K138"/>
  <c r="K137"/>
  <c r="K132"/>
  <c r="K131"/>
  <c r="K130"/>
  <c r="K129"/>
  <c r="K128"/>
  <c r="K127"/>
  <c r="K126"/>
  <c r="K125"/>
  <c r="K133"/>
  <c r="K121"/>
  <c r="K120"/>
  <c r="K119"/>
  <c r="K118"/>
  <c r="K117"/>
  <c r="K116"/>
  <c r="K115"/>
  <c r="K114"/>
  <c r="K113"/>
  <c r="K112"/>
  <c r="K111"/>
  <c r="K110"/>
  <c r="K109"/>
  <c r="K108"/>
  <c r="K87"/>
  <c r="K86"/>
  <c r="K85"/>
  <c r="K84"/>
  <c r="K79"/>
  <c r="K78"/>
  <c r="K77"/>
  <c r="I77" i="23"/>
  <c r="F76" i="7"/>
  <c r="K76" i="9"/>
  <c r="K75"/>
  <c r="K74"/>
  <c r="K73"/>
  <c r="K72"/>
  <c r="K65"/>
  <c r="K64"/>
  <c r="K63"/>
  <c r="K62"/>
  <c r="K61"/>
  <c r="K60"/>
  <c r="K59"/>
  <c r="K58"/>
  <c r="K57"/>
  <c r="K56"/>
  <c r="K55"/>
  <c r="K54"/>
  <c r="K53"/>
  <c r="K48"/>
  <c r="K47"/>
  <c r="K46"/>
  <c r="K45"/>
  <c r="K44"/>
  <c r="K43"/>
  <c r="K42"/>
  <c r="K41"/>
  <c r="K49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13"/>
  <c r="K99"/>
  <c r="K94"/>
  <c r="K93"/>
  <c r="AB61" i="17"/>
  <c r="C168" i="21"/>
  <c r="C167"/>
  <c r="C168" i="2"/>
  <c r="C167"/>
  <c r="AC109" i="17"/>
  <c r="AP109" i="21"/>
  <c r="AN109"/>
  <c r="AA109" i="17"/>
  <c r="BA109" i="2"/>
  <c r="C77" i="9"/>
  <c r="BJ77" i="2"/>
  <c r="E78" i="8"/>
  <c r="E79"/>
  <c r="I95" i="23"/>
  <c r="I93"/>
  <c r="F77" i="17"/>
  <c r="I92" i="23"/>
  <c r="Y73" i="17"/>
  <c r="I74"/>
  <c r="I87" i="23"/>
  <c r="K74" i="17"/>
  <c r="I90" i="23"/>
  <c r="J73" i="17"/>
  <c r="C146" i="22"/>
  <c r="I78" i="23"/>
  <c r="E72" i="7"/>
  <c r="I76" i="23"/>
  <c r="E77" i="6"/>
  <c r="I75" i="23"/>
  <c r="D76" i="6"/>
  <c r="C72"/>
  <c r="C72" i="9"/>
  <c r="F4" i="13"/>
  <c r="D14"/>
  <c r="I63" i="23"/>
  <c r="I64"/>
  <c r="H72" i="2"/>
  <c r="I61" i="23"/>
  <c r="I54"/>
  <c r="I60"/>
  <c r="G77" i="2"/>
  <c r="I57" i="23"/>
  <c r="AU73" i="2"/>
  <c r="I56" i="23"/>
  <c r="AX73" i="2"/>
  <c r="I55" i="23"/>
  <c r="AT73" i="2"/>
  <c r="I53" i="23"/>
  <c r="AR73" i="2"/>
  <c r="I52" i="23"/>
  <c r="AY73" i="2"/>
  <c r="I51" i="23"/>
  <c r="AG73" i="2"/>
  <c r="I50" i="23"/>
  <c r="AH73" i="2"/>
  <c r="I49" i="23"/>
  <c r="AB73" i="2"/>
  <c r="I48" i="23"/>
  <c r="AC73" i="2"/>
  <c r="I46" i="23"/>
  <c r="R73" i="2"/>
  <c r="I45" i="23"/>
  <c r="S73" i="2"/>
  <c r="I44" i="23"/>
  <c r="O73" i="2"/>
  <c r="I43" i="23"/>
  <c r="N73" i="2"/>
  <c r="I42" i="23"/>
  <c r="I41"/>
  <c r="AM73" i="2"/>
  <c r="I40" i="23"/>
  <c r="AN73" i="2"/>
  <c r="I39" i="23"/>
  <c r="AE73" i="2"/>
  <c r="I38" i="23"/>
  <c r="AI73" i="2"/>
  <c r="I37" i="23"/>
  <c r="AD73" i="2"/>
  <c r="I36" i="23"/>
  <c r="Z73" i="2"/>
  <c r="I35" i="23"/>
  <c r="Y73" i="2"/>
  <c r="I33" i="23"/>
  <c r="U73" i="2"/>
  <c r="I32" i="23"/>
  <c r="Q73" i="2"/>
  <c r="I31" i="23"/>
  <c r="P73" i="2"/>
  <c r="I30" i="23"/>
  <c r="AK73" i="2"/>
  <c r="I29" i="23"/>
  <c r="AF73" i="2"/>
  <c r="I28" i="23"/>
  <c r="AA73" i="2"/>
  <c r="I27" i="23"/>
  <c r="V73" i="2"/>
  <c r="I26" i="23"/>
  <c r="AO73" i="2"/>
  <c r="I24" i="23"/>
  <c r="I25"/>
  <c r="AL73" i="2"/>
  <c r="I23" i="23"/>
  <c r="AP73" i="2"/>
  <c r="W74"/>
  <c r="I19" i="23"/>
  <c r="X74" i="2"/>
  <c r="I21" i="23"/>
  <c r="AH74" i="2"/>
  <c r="AG74"/>
  <c r="I20" i="23"/>
  <c r="AC74" i="2"/>
  <c r="AB74"/>
  <c r="I18" i="23"/>
  <c r="R74" i="2"/>
  <c r="I17" i="23"/>
  <c r="S74" i="2"/>
  <c r="I16" i="23"/>
  <c r="N74" i="2"/>
  <c r="I15" i="23"/>
  <c r="O74" i="2"/>
  <c r="I14" i="23"/>
  <c r="Y74" i="2"/>
  <c r="I12" i="23"/>
  <c r="Q74" i="2"/>
  <c r="P74"/>
  <c r="I11" i="23"/>
  <c r="J73" i="2"/>
  <c r="X73" i="17"/>
  <c r="AQ73" i="2"/>
  <c r="T73" i="17"/>
  <c r="AG7"/>
  <c r="AG8"/>
  <c r="AH7"/>
  <c r="AH8"/>
  <c r="E73" i="4"/>
  <c r="D73"/>
  <c r="C73"/>
  <c r="AD158" i="21"/>
  <c r="I84" i="23"/>
  <c r="AD73" i="21"/>
  <c r="M188" i="9"/>
  <c r="M97"/>
  <c r="M95"/>
  <c r="M96"/>
  <c r="M98"/>
  <c r="M101"/>
  <c r="M102"/>
  <c r="M104"/>
  <c r="L66"/>
  <c r="P133"/>
  <c r="P141"/>
  <c r="P150"/>
  <c r="P186"/>
  <c r="P188"/>
  <c r="P38"/>
  <c r="P68"/>
  <c r="P80"/>
  <c r="P101"/>
  <c r="K171"/>
  <c r="K186"/>
  <c r="L186"/>
  <c r="L133"/>
  <c r="K66"/>
  <c r="K80"/>
  <c r="K88"/>
  <c r="K97"/>
  <c r="K122"/>
  <c r="K141"/>
  <c r="K188"/>
  <c r="L150"/>
  <c r="L88"/>
  <c r="L80"/>
  <c r="L98"/>
  <c r="L38"/>
  <c r="K38"/>
  <c r="L171"/>
  <c r="L122"/>
  <c r="L49"/>
  <c r="L96"/>
  <c r="L68"/>
  <c r="K90"/>
  <c r="K96"/>
  <c r="I94" i="23"/>
  <c r="I91"/>
  <c r="K73" i="17"/>
  <c r="I89" i="23"/>
  <c r="I73" i="17"/>
  <c r="I88" i="23"/>
  <c r="U73" i="17"/>
  <c r="I86" i="23"/>
  <c r="H72" i="21"/>
  <c r="I85" i="23"/>
  <c r="G72" i="21"/>
  <c r="I83" i="23"/>
  <c r="AC73" i="21"/>
  <c r="I82" i="23"/>
  <c r="J74" i="21"/>
  <c r="I47" i="23"/>
  <c r="W73" i="2"/>
  <c r="I34" i="23"/>
  <c r="T73" i="2"/>
  <c r="I13" i="23"/>
  <c r="I10"/>
  <c r="K73" i="2"/>
  <c r="I9" i="23"/>
  <c r="L73" i="2"/>
  <c r="I8" i="23"/>
  <c r="K74" i="2"/>
  <c r="I7" i="23"/>
  <c r="J74" i="2"/>
  <c r="I6" i="23"/>
  <c r="L74" i="2"/>
  <c r="G94" i="23"/>
  <c r="G93"/>
  <c r="G92"/>
  <c r="G91"/>
  <c r="G90"/>
  <c r="G89"/>
  <c r="G88"/>
  <c r="G87"/>
  <c r="G86"/>
  <c r="G85"/>
  <c r="K85"/>
  <c r="G84"/>
  <c r="G83"/>
  <c r="G82"/>
  <c r="G80"/>
  <c r="G76"/>
  <c r="G72"/>
  <c r="G64"/>
  <c r="G63"/>
  <c r="G62"/>
  <c r="G59"/>
  <c r="G58"/>
  <c r="K58"/>
  <c r="G57"/>
  <c r="G56"/>
  <c r="G55"/>
  <c r="G54"/>
  <c r="G53"/>
  <c r="G52"/>
  <c r="G51"/>
  <c r="G50"/>
  <c r="G49"/>
  <c r="G48"/>
  <c r="G47"/>
  <c r="G46"/>
  <c r="G45"/>
  <c r="G44"/>
  <c r="G43"/>
  <c r="G42"/>
  <c r="G41"/>
  <c r="K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16"/>
  <c r="G15"/>
  <c r="G14"/>
  <c r="G13"/>
  <c r="G12"/>
  <c r="G11"/>
  <c r="G10"/>
  <c r="G9"/>
  <c r="G8"/>
  <c r="G7"/>
  <c r="G6"/>
  <c r="G5"/>
  <c r="I103"/>
  <c r="K103"/>
  <c r="I102"/>
  <c r="K102"/>
  <c r="I101"/>
  <c r="K101"/>
  <c r="I100"/>
  <c r="K100"/>
  <c r="I99"/>
  <c r="K99"/>
  <c r="I97"/>
  <c r="K97"/>
  <c r="I96"/>
  <c r="K96"/>
  <c r="K95"/>
  <c r="P92"/>
  <c r="K90"/>
  <c r="I81"/>
  <c r="K81"/>
  <c r="I71"/>
  <c r="K71"/>
  <c r="I69"/>
  <c r="K69"/>
  <c r="I68"/>
  <c r="K68"/>
  <c r="I67"/>
  <c r="K67"/>
  <c r="I66"/>
  <c r="K66"/>
  <c r="I65"/>
  <c r="K65"/>
  <c r="K61"/>
  <c r="K60"/>
  <c r="M190" i="9"/>
  <c r="M192"/>
  <c r="L95"/>
  <c r="P95"/>
  <c r="P96"/>
  <c r="P97"/>
  <c r="P98"/>
  <c r="P102"/>
  <c r="P90"/>
  <c r="P104"/>
  <c r="P190"/>
  <c r="L97"/>
  <c r="L101"/>
  <c r="K68"/>
  <c r="L188"/>
  <c r="K98"/>
  <c r="K101"/>
  <c r="K95"/>
  <c r="K102"/>
  <c r="K104"/>
  <c r="K190"/>
  <c r="L102"/>
  <c r="L90"/>
  <c r="L104"/>
  <c r="K57" i="23"/>
  <c r="K42"/>
  <c r="K64"/>
  <c r="K7"/>
  <c r="K50"/>
  <c r="K27"/>
  <c r="K39"/>
  <c r="K43"/>
  <c r="K47"/>
  <c r="K55"/>
  <c r="K84"/>
  <c r="K15"/>
  <c r="K19"/>
  <c r="K13"/>
  <c r="K29"/>
  <c r="K63"/>
  <c r="K94"/>
  <c r="M74" i="2"/>
  <c r="K9" i="23"/>
  <c r="K34"/>
  <c r="K16"/>
  <c r="K40"/>
  <c r="K80"/>
  <c r="K83"/>
  <c r="K30"/>
  <c r="K91"/>
  <c r="K31"/>
  <c r="K92"/>
  <c r="G72" i="17"/>
  <c r="K8" i="23"/>
  <c r="K12"/>
  <c r="K20"/>
  <c r="K25"/>
  <c r="K37"/>
  <c r="K53"/>
  <c r="K82"/>
  <c r="K86"/>
  <c r="K87"/>
  <c r="K93"/>
  <c r="K89"/>
  <c r="K88"/>
  <c r="K59"/>
  <c r="K54"/>
  <c r="K51"/>
  <c r="K49"/>
  <c r="K46"/>
  <c r="K45"/>
  <c r="K38"/>
  <c r="K35"/>
  <c r="K33"/>
  <c r="K26"/>
  <c r="K23"/>
  <c r="K22"/>
  <c r="K17"/>
  <c r="K11"/>
  <c r="K5"/>
  <c r="K72"/>
  <c r="K62"/>
  <c r="K56"/>
  <c r="K52"/>
  <c r="K48"/>
  <c r="K44"/>
  <c r="K36"/>
  <c r="K32"/>
  <c r="K28"/>
  <c r="K24"/>
  <c r="K18"/>
  <c r="K14"/>
  <c r="K10"/>
  <c r="K6"/>
  <c r="L190" i="9"/>
  <c r="P192"/>
  <c r="L192"/>
  <c r="K192"/>
  <c r="AO61" i="21"/>
  <c r="AT8"/>
  <c r="AT7"/>
  <c r="AT185"/>
  <c r="AT184"/>
  <c r="AT183"/>
  <c r="AT182"/>
  <c r="AT181"/>
  <c r="AT180"/>
  <c r="AT179"/>
  <c r="AT178"/>
  <c r="AT177"/>
  <c r="AT176"/>
  <c r="AT170"/>
  <c r="AT169"/>
  <c r="AT168"/>
  <c r="AT167"/>
  <c r="AT166"/>
  <c r="AT165"/>
  <c r="AT164"/>
  <c r="AT163"/>
  <c r="AT162"/>
  <c r="AT161"/>
  <c r="AT160"/>
  <c r="AT159"/>
  <c r="AT158"/>
  <c r="AT154"/>
  <c r="AT149"/>
  <c r="AT148"/>
  <c r="AT147"/>
  <c r="AT145"/>
  <c r="AT144"/>
  <c r="AT140"/>
  <c r="AT139"/>
  <c r="AT138"/>
  <c r="AT137"/>
  <c r="AT132"/>
  <c r="AT131"/>
  <c r="AT130"/>
  <c r="AT129"/>
  <c r="AT128"/>
  <c r="AT127"/>
  <c r="AT126"/>
  <c r="AT125"/>
  <c r="AT121"/>
  <c r="AT120"/>
  <c r="AT119"/>
  <c r="AT118"/>
  <c r="AT117"/>
  <c r="AT116"/>
  <c r="AT115"/>
  <c r="AT114"/>
  <c r="AT113"/>
  <c r="AT112"/>
  <c r="AT111"/>
  <c r="AT110"/>
  <c r="AT109"/>
  <c r="AT108"/>
  <c r="AT100"/>
  <c r="AT94"/>
  <c r="AT93"/>
  <c r="AT87"/>
  <c r="AT86"/>
  <c r="AT85"/>
  <c r="AT84"/>
  <c r="AT79"/>
  <c r="AT78"/>
  <c r="AT77"/>
  <c r="AT76"/>
  <c r="AT75"/>
  <c r="AT74"/>
  <c r="AT73"/>
  <c r="AT72"/>
  <c r="AT65"/>
  <c r="AT64"/>
  <c r="AT63"/>
  <c r="AT62"/>
  <c r="AT61"/>
  <c r="AT60"/>
  <c r="AT59"/>
  <c r="AT58"/>
  <c r="AT57"/>
  <c r="AT56"/>
  <c r="AT55"/>
  <c r="AT54"/>
  <c r="AT53"/>
  <c r="AT48"/>
  <c r="AT47"/>
  <c r="AT46"/>
  <c r="AT45"/>
  <c r="AT44"/>
  <c r="AT43"/>
  <c r="AT42"/>
  <c r="AT41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13"/>
  <c r="L158"/>
  <c r="L74"/>
  <c r="L73"/>
  <c r="L84"/>
  <c r="AH115"/>
  <c r="AI115"/>
  <c r="AJ115"/>
  <c r="AK115"/>
  <c r="AL115"/>
  <c r="B6" i="1"/>
  <c r="C138" i="21"/>
  <c r="C131"/>
  <c r="BL162" i="2"/>
  <c r="X84" i="21"/>
  <c r="AA84"/>
  <c r="Y84"/>
  <c r="AA73"/>
  <c r="Y73"/>
  <c r="F164" i="11"/>
  <c r="P74" i="17"/>
  <c r="P73"/>
  <c r="K80"/>
  <c r="K186"/>
  <c r="K171"/>
  <c r="K155"/>
  <c r="K150"/>
  <c r="K141"/>
  <c r="K133"/>
  <c r="K122"/>
  <c r="K188"/>
  <c r="K99"/>
  <c r="K94"/>
  <c r="K93"/>
  <c r="K84"/>
  <c r="K88"/>
  <c r="K68"/>
  <c r="K66"/>
  <c r="K49"/>
  <c r="K38"/>
  <c r="AX162" i="21"/>
  <c r="K97" i="17"/>
  <c r="K101"/>
  <c r="K96"/>
  <c r="K95"/>
  <c r="K98"/>
  <c r="K90"/>
  <c r="M87" i="21"/>
  <c r="M74"/>
  <c r="M73"/>
  <c r="K102" i="17"/>
  <c r="K104"/>
  <c r="K190"/>
  <c r="K192"/>
  <c r="C53" i="21"/>
  <c r="C53" i="17"/>
  <c r="L74"/>
  <c r="M186" i="1"/>
  <c r="M155"/>
  <c r="M150"/>
  <c r="M141"/>
  <c r="M133"/>
  <c r="M122"/>
  <c r="P185"/>
  <c r="P184"/>
  <c r="P183"/>
  <c r="P182"/>
  <c r="P181"/>
  <c r="P180"/>
  <c r="P179"/>
  <c r="P178"/>
  <c r="P177"/>
  <c r="P176"/>
  <c r="P175"/>
  <c r="P186"/>
  <c r="P170"/>
  <c r="P169"/>
  <c r="P168"/>
  <c r="P167"/>
  <c r="P166"/>
  <c r="P165"/>
  <c r="P163"/>
  <c r="P162"/>
  <c r="P161"/>
  <c r="P160"/>
  <c r="P159"/>
  <c r="P158"/>
  <c r="P154"/>
  <c r="P155"/>
  <c r="P149"/>
  <c r="P148"/>
  <c r="P147"/>
  <c r="P146"/>
  <c r="P145"/>
  <c r="P144"/>
  <c r="P150"/>
  <c r="P140"/>
  <c r="P137"/>
  <c r="P138"/>
  <c r="P139"/>
  <c r="P141"/>
  <c r="P132"/>
  <c r="P131"/>
  <c r="P129"/>
  <c r="P128"/>
  <c r="P127"/>
  <c r="P126"/>
  <c r="P125"/>
  <c r="P121"/>
  <c r="P120"/>
  <c r="P119"/>
  <c r="P118"/>
  <c r="P117"/>
  <c r="P116"/>
  <c r="P115"/>
  <c r="P114"/>
  <c r="P113"/>
  <c r="P112"/>
  <c r="P111"/>
  <c r="P110"/>
  <c r="P109"/>
  <c r="P108"/>
  <c r="P122"/>
  <c r="P101"/>
  <c r="P100"/>
  <c r="P99"/>
  <c r="P98"/>
  <c r="P97"/>
  <c r="P96"/>
  <c r="P95"/>
  <c r="P102"/>
  <c r="P94"/>
  <c r="P93"/>
  <c r="P87"/>
  <c r="P86"/>
  <c r="P85"/>
  <c r="P84"/>
  <c r="P88"/>
  <c r="P79"/>
  <c r="P77"/>
  <c r="P76"/>
  <c r="P75"/>
  <c r="P74"/>
  <c r="P73"/>
  <c r="P72"/>
  <c r="P65"/>
  <c r="P64"/>
  <c r="P63"/>
  <c r="P62"/>
  <c r="P61"/>
  <c r="P60"/>
  <c r="P59"/>
  <c r="P58"/>
  <c r="P57"/>
  <c r="P56"/>
  <c r="P66"/>
  <c r="P55"/>
  <c r="P54"/>
  <c r="P53"/>
  <c r="P48"/>
  <c r="P47"/>
  <c r="P46"/>
  <c r="P45"/>
  <c r="P44"/>
  <c r="P43"/>
  <c r="P42"/>
  <c r="P37"/>
  <c r="P36"/>
  <c r="P35"/>
  <c r="P34"/>
  <c r="P33"/>
  <c r="P32"/>
  <c r="P31"/>
  <c r="P30"/>
  <c r="P29"/>
  <c r="P28"/>
  <c r="P26"/>
  <c r="P25"/>
  <c r="P24"/>
  <c r="P23"/>
  <c r="P22"/>
  <c r="P21"/>
  <c r="P20"/>
  <c r="P19"/>
  <c r="P18"/>
  <c r="P17"/>
  <c r="P15"/>
  <c r="P14"/>
  <c r="P13"/>
  <c r="M164"/>
  <c r="M171"/>
  <c r="M102"/>
  <c r="M88"/>
  <c r="M78"/>
  <c r="M80"/>
  <c r="M90"/>
  <c r="M104"/>
  <c r="M66"/>
  <c r="M57"/>
  <c r="M49"/>
  <c r="M16"/>
  <c r="M38"/>
  <c r="J186"/>
  <c r="J171"/>
  <c r="J155"/>
  <c r="J150"/>
  <c r="J141"/>
  <c r="J133"/>
  <c r="J122"/>
  <c r="J102"/>
  <c r="J80"/>
  <c r="J88"/>
  <c r="J90"/>
  <c r="J104"/>
  <c r="J66"/>
  <c r="J49"/>
  <c r="J38"/>
  <c r="G186"/>
  <c r="G171"/>
  <c r="G155"/>
  <c r="G150"/>
  <c r="G141"/>
  <c r="G130"/>
  <c r="G133"/>
  <c r="G122"/>
  <c r="G188"/>
  <c r="G102"/>
  <c r="G88"/>
  <c r="G78"/>
  <c r="G66"/>
  <c r="G49"/>
  <c r="G27"/>
  <c r="G16"/>
  <c r="G38"/>
  <c r="D186"/>
  <c r="D164"/>
  <c r="D171"/>
  <c r="D155"/>
  <c r="D150"/>
  <c r="D141"/>
  <c r="D130"/>
  <c r="D133"/>
  <c r="D122"/>
  <c r="D102"/>
  <c r="D88"/>
  <c r="D78"/>
  <c r="D80"/>
  <c r="D66"/>
  <c r="D41"/>
  <c r="D27"/>
  <c r="P27"/>
  <c r="D17"/>
  <c r="D16"/>
  <c r="P16"/>
  <c r="P38"/>
  <c r="D49"/>
  <c r="D68"/>
  <c r="D192"/>
  <c r="P41"/>
  <c r="P49"/>
  <c r="P78"/>
  <c r="P80"/>
  <c r="P90"/>
  <c r="P104"/>
  <c r="G80"/>
  <c r="G90"/>
  <c r="G104"/>
  <c r="G190"/>
  <c r="D90"/>
  <c r="D104"/>
  <c r="P130"/>
  <c r="P133"/>
  <c r="P164"/>
  <c r="P171"/>
  <c r="D188"/>
  <c r="J68"/>
  <c r="D38"/>
  <c r="J188"/>
  <c r="J192"/>
  <c r="M188"/>
  <c r="M190"/>
  <c r="M68"/>
  <c r="G68"/>
  <c r="G192"/>
  <c r="P188"/>
  <c r="P190"/>
  <c r="J190"/>
  <c r="M192"/>
  <c r="D190"/>
  <c r="P68"/>
  <c r="P192"/>
  <c r="AK186" i="21"/>
  <c r="AK171"/>
  <c r="AK155"/>
  <c r="AK150"/>
  <c r="AK141"/>
  <c r="AK133"/>
  <c r="AK122"/>
  <c r="AK99"/>
  <c r="AK94"/>
  <c r="AK93"/>
  <c r="AK88"/>
  <c r="AK73"/>
  <c r="AK80"/>
  <c r="AK95"/>
  <c r="AK84"/>
  <c r="AK66"/>
  <c r="AK49"/>
  <c r="AK38"/>
  <c r="AK68"/>
  <c r="AK188"/>
  <c r="AK101"/>
  <c r="AK90"/>
  <c r="AK97"/>
  <c r="AK96"/>
  <c r="AK98"/>
  <c r="AK102"/>
  <c r="AK104"/>
  <c r="AK192"/>
  <c r="W73"/>
  <c r="T74"/>
  <c r="T73"/>
  <c r="S73"/>
  <c r="Q74"/>
  <c r="Q73"/>
  <c r="AK7" i="17"/>
  <c r="AI7"/>
  <c r="E186" i="4"/>
  <c r="E164"/>
  <c r="E158"/>
  <c r="E171"/>
  <c r="E155"/>
  <c r="E150"/>
  <c r="E141"/>
  <c r="E133"/>
  <c r="E122"/>
  <c r="E99"/>
  <c r="AT99" i="21"/>
  <c r="E88" i="4"/>
  <c r="E80"/>
  <c r="E101"/>
  <c r="AT101" i="21"/>
  <c r="E66" i="4"/>
  <c r="E49"/>
  <c r="E17"/>
  <c r="E38"/>
  <c r="E68"/>
  <c r="AF73" i="21"/>
  <c r="AL84"/>
  <c r="AJ84"/>
  <c r="AI84"/>
  <c r="AH84"/>
  <c r="F7"/>
  <c r="U73"/>
  <c r="X73"/>
  <c r="Z73"/>
  <c r="E188" i="4"/>
  <c r="E97"/>
  <c r="AT97" i="21"/>
  <c r="E90" i="4"/>
  <c r="E98"/>
  <c r="AT98" i="21"/>
  <c r="E95" i="4"/>
  <c r="E96"/>
  <c r="AT96" i="21"/>
  <c r="E102" i="4"/>
  <c r="E104"/>
  <c r="E192"/>
  <c r="AT95" i="21"/>
  <c r="N72" i="9"/>
  <c r="N175"/>
  <c r="N185"/>
  <c r="N184"/>
  <c r="N183"/>
  <c r="N182"/>
  <c r="N181"/>
  <c r="N180"/>
  <c r="N179"/>
  <c r="N178"/>
  <c r="N177"/>
  <c r="N176"/>
  <c r="N170"/>
  <c r="N169"/>
  <c r="N166"/>
  <c r="N165"/>
  <c r="N164"/>
  <c r="N163"/>
  <c r="N162"/>
  <c r="N161"/>
  <c r="N160"/>
  <c r="N159"/>
  <c r="N154"/>
  <c r="N155"/>
  <c r="N149"/>
  <c r="N148"/>
  <c r="N147"/>
  <c r="N145"/>
  <c r="N144"/>
  <c r="N140"/>
  <c r="N139"/>
  <c r="N138"/>
  <c r="N137"/>
  <c r="N132"/>
  <c r="N131"/>
  <c r="N130"/>
  <c r="N129"/>
  <c r="N128"/>
  <c r="N127"/>
  <c r="N126"/>
  <c r="N125"/>
  <c r="N121"/>
  <c r="N120"/>
  <c r="N119"/>
  <c r="N118"/>
  <c r="N117"/>
  <c r="N116"/>
  <c r="N115"/>
  <c r="N114"/>
  <c r="N113"/>
  <c r="N112"/>
  <c r="N111"/>
  <c r="N110"/>
  <c r="N109"/>
  <c r="N108"/>
  <c r="N87"/>
  <c r="N86"/>
  <c r="N85"/>
  <c r="N84"/>
  <c r="N79"/>
  <c r="N78"/>
  <c r="N77"/>
  <c r="N76"/>
  <c r="N75"/>
  <c r="N74"/>
  <c r="N73"/>
  <c r="N65"/>
  <c r="N64"/>
  <c r="N63"/>
  <c r="N62"/>
  <c r="N61"/>
  <c r="N60"/>
  <c r="N59"/>
  <c r="N58"/>
  <c r="N57"/>
  <c r="N56"/>
  <c r="N55"/>
  <c r="N54"/>
  <c r="N53"/>
  <c r="N48"/>
  <c r="N47"/>
  <c r="N46"/>
  <c r="N45"/>
  <c r="N44"/>
  <c r="N43"/>
  <c r="N42"/>
  <c r="N41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99"/>
  <c r="N94"/>
  <c r="N93"/>
  <c r="R73" i="17"/>
  <c r="W73"/>
  <c r="Q73"/>
  <c r="N73"/>
  <c r="M73"/>
  <c r="L73"/>
  <c r="AP84" i="2"/>
  <c r="N122" i="9"/>
  <c r="N133"/>
  <c r="N141"/>
  <c r="N150"/>
  <c r="N171"/>
  <c r="N186"/>
  <c r="N80"/>
  <c r="N49"/>
  <c r="N88"/>
  <c r="N96"/>
  <c r="N66"/>
  <c r="N38"/>
  <c r="N90"/>
  <c r="N188"/>
  <c r="N98"/>
  <c r="N95"/>
  <c r="N68"/>
  <c r="N97"/>
  <c r="N101"/>
  <c r="N102"/>
  <c r="N104"/>
  <c r="N192"/>
  <c r="N190"/>
  <c r="BG185" i="2"/>
  <c r="BG183"/>
  <c r="BG182"/>
  <c r="BG181"/>
  <c r="BG180"/>
  <c r="BG179"/>
  <c r="BG178"/>
  <c r="BG177"/>
  <c r="BG176"/>
  <c r="BG170"/>
  <c r="BG169"/>
  <c r="BG168"/>
  <c r="BG167"/>
  <c r="BG166"/>
  <c r="BG165"/>
  <c r="BG164"/>
  <c r="BG163"/>
  <c r="BG162"/>
  <c r="BG161"/>
  <c r="BG160"/>
  <c r="BG159"/>
  <c r="BG158"/>
  <c r="BG154"/>
  <c r="BG149"/>
  <c r="BG148"/>
  <c r="BG147"/>
  <c r="BG145"/>
  <c r="BG144"/>
  <c r="BG140"/>
  <c r="BG139"/>
  <c r="BG138"/>
  <c r="BG137"/>
  <c r="BG132"/>
  <c r="BG131"/>
  <c r="BG130"/>
  <c r="BG129"/>
  <c r="BG128"/>
  <c r="BG127"/>
  <c r="BG126"/>
  <c r="BG125"/>
  <c r="BG121"/>
  <c r="BG120"/>
  <c r="BG119"/>
  <c r="BG118"/>
  <c r="BG117"/>
  <c r="BG116"/>
  <c r="BG115"/>
  <c r="BG114"/>
  <c r="BG113"/>
  <c r="BG112"/>
  <c r="BG111"/>
  <c r="BG110"/>
  <c r="BG109"/>
  <c r="BG108"/>
  <c r="BG65"/>
  <c r="BG64"/>
  <c r="BG63"/>
  <c r="BG62"/>
  <c r="BG61"/>
  <c r="BG60"/>
  <c r="BG59"/>
  <c r="BG58"/>
  <c r="BG57"/>
  <c r="BG56"/>
  <c r="BG55"/>
  <c r="BG54"/>
  <c r="BG53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AY133"/>
  <c r="AX133"/>
  <c r="AW133"/>
  <c r="AV133"/>
  <c r="AU133"/>
  <c r="AT133"/>
  <c r="AS133"/>
  <c r="AR133"/>
  <c r="AQ133"/>
  <c r="AP133"/>
  <c r="AO133"/>
  <c r="AN133"/>
  <c r="AM133"/>
  <c r="AL133"/>
  <c r="AK133"/>
  <c r="AK188"/>
  <c r="AJ133"/>
  <c r="AI133"/>
  <c r="AH133"/>
  <c r="AG133"/>
  <c r="AG188"/>
  <c r="AF133"/>
  <c r="AE133"/>
  <c r="AD133"/>
  <c r="AC133"/>
  <c r="AC188"/>
  <c r="AB133"/>
  <c r="AA133"/>
  <c r="Z133"/>
  <c r="Y133"/>
  <c r="Y188"/>
  <c r="X133"/>
  <c r="W133"/>
  <c r="V133"/>
  <c r="U133"/>
  <c r="T133"/>
  <c r="S133"/>
  <c r="R133"/>
  <c r="Q133"/>
  <c r="P133"/>
  <c r="O133"/>
  <c r="N133"/>
  <c r="M133"/>
  <c r="L133"/>
  <c r="K133"/>
  <c r="J133"/>
  <c r="AY122"/>
  <c r="AX122"/>
  <c r="AW122"/>
  <c r="AV122"/>
  <c r="AU122"/>
  <c r="AT122"/>
  <c r="AS122"/>
  <c r="AR122"/>
  <c r="AQ122"/>
  <c r="AQ188"/>
  <c r="AP122"/>
  <c r="AO122"/>
  <c r="AN122"/>
  <c r="AM122"/>
  <c r="AL122"/>
  <c r="AK122"/>
  <c r="AJ122"/>
  <c r="AI122"/>
  <c r="AI188"/>
  <c r="AH122"/>
  <c r="AG122"/>
  <c r="AF122"/>
  <c r="AE122"/>
  <c r="AE188"/>
  <c r="AD122"/>
  <c r="AC122"/>
  <c r="AB122"/>
  <c r="AA122"/>
  <c r="AA188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AP88"/>
  <c r="AG185" i="17"/>
  <c r="AG184"/>
  <c r="AG183"/>
  <c r="AG182"/>
  <c r="AG181"/>
  <c r="AG180"/>
  <c r="AG179"/>
  <c r="AG178"/>
  <c r="AG177"/>
  <c r="AG176"/>
  <c r="AG170"/>
  <c r="AG169"/>
  <c r="AG168"/>
  <c r="AG167"/>
  <c r="AG166"/>
  <c r="AG165"/>
  <c r="AG163"/>
  <c r="AG162"/>
  <c r="AG161"/>
  <c r="AG160"/>
  <c r="AG159"/>
  <c r="AG154"/>
  <c r="AG149"/>
  <c r="AG148"/>
  <c r="AG147"/>
  <c r="AG145"/>
  <c r="AG144"/>
  <c r="AG140"/>
  <c r="AG139"/>
  <c r="AG138"/>
  <c r="AG137"/>
  <c r="AG132"/>
  <c r="AG131"/>
  <c r="AG130"/>
  <c r="AG129"/>
  <c r="AG128"/>
  <c r="AG127"/>
  <c r="AG126"/>
  <c r="AG125"/>
  <c r="AG121"/>
  <c r="AG120"/>
  <c r="AG119"/>
  <c r="AG118"/>
  <c r="AG117"/>
  <c r="AG116"/>
  <c r="AG115"/>
  <c r="AG114"/>
  <c r="AG113"/>
  <c r="AG112"/>
  <c r="AG111"/>
  <c r="AG110"/>
  <c r="AG109"/>
  <c r="AG108"/>
  <c r="AG87"/>
  <c r="AG86"/>
  <c r="AG85"/>
  <c r="AG84"/>
  <c r="AG79"/>
  <c r="AG78"/>
  <c r="AG77"/>
  <c r="AG76"/>
  <c r="AG75"/>
  <c r="AG74"/>
  <c r="AG73"/>
  <c r="AG72"/>
  <c r="AG65"/>
  <c r="AG64"/>
  <c r="AG63"/>
  <c r="AG62"/>
  <c r="AG61"/>
  <c r="AG60"/>
  <c r="AG59"/>
  <c r="AG58"/>
  <c r="AG57"/>
  <c r="AG56"/>
  <c r="AG55"/>
  <c r="AG54"/>
  <c r="AG53"/>
  <c r="G185" i="4"/>
  <c r="G184"/>
  <c r="G183"/>
  <c r="G182"/>
  <c r="G181"/>
  <c r="G180"/>
  <c r="G179"/>
  <c r="G178"/>
  <c r="G177"/>
  <c r="G176"/>
  <c r="G175"/>
  <c r="G170"/>
  <c r="G169"/>
  <c r="G168"/>
  <c r="G167"/>
  <c r="G166"/>
  <c r="G165"/>
  <c r="G163"/>
  <c r="G162"/>
  <c r="G161"/>
  <c r="G160"/>
  <c r="G159"/>
  <c r="G154"/>
  <c r="G155"/>
  <c r="G149"/>
  <c r="G148"/>
  <c r="G147"/>
  <c r="G146"/>
  <c r="G145"/>
  <c r="G144"/>
  <c r="G140"/>
  <c r="G139"/>
  <c r="G138"/>
  <c r="G137"/>
  <c r="G132"/>
  <c r="G131"/>
  <c r="G130"/>
  <c r="G129"/>
  <c r="G128"/>
  <c r="G127"/>
  <c r="G126"/>
  <c r="G125"/>
  <c r="G120"/>
  <c r="G119"/>
  <c r="G118"/>
  <c r="G117"/>
  <c r="G116"/>
  <c r="G115"/>
  <c r="G114"/>
  <c r="G113"/>
  <c r="G112"/>
  <c r="G111"/>
  <c r="G110"/>
  <c r="G109"/>
  <c r="G108"/>
  <c r="G100"/>
  <c r="G94"/>
  <c r="G93"/>
  <c r="G87"/>
  <c r="G86"/>
  <c r="G85"/>
  <c r="G84"/>
  <c r="G79"/>
  <c r="G78"/>
  <c r="G77"/>
  <c r="G76"/>
  <c r="G75"/>
  <c r="G74"/>
  <c r="G72"/>
  <c r="G65"/>
  <c r="G64"/>
  <c r="G63"/>
  <c r="G62"/>
  <c r="G61"/>
  <c r="G60"/>
  <c r="G59"/>
  <c r="G58"/>
  <c r="G57"/>
  <c r="G56"/>
  <c r="G55"/>
  <c r="G54"/>
  <c r="G53"/>
  <c r="G48"/>
  <c r="G47"/>
  <c r="G46"/>
  <c r="G45"/>
  <c r="G44"/>
  <c r="G43"/>
  <c r="G42"/>
  <c r="G41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6"/>
  <c r="G15"/>
  <c r="G14"/>
  <c r="G13"/>
  <c r="G7"/>
  <c r="D164"/>
  <c r="G164"/>
  <c r="D158"/>
  <c r="G158"/>
  <c r="G73"/>
  <c r="D17"/>
  <c r="D38"/>
  <c r="C17"/>
  <c r="D186"/>
  <c r="D155"/>
  <c r="D150"/>
  <c r="D141"/>
  <c r="D133"/>
  <c r="D122"/>
  <c r="D99"/>
  <c r="D88"/>
  <c r="D80"/>
  <c r="D90"/>
  <c r="D66"/>
  <c r="D49"/>
  <c r="AH185" i="17"/>
  <c r="AH184"/>
  <c r="AH183"/>
  <c r="AH182"/>
  <c r="AH180"/>
  <c r="AH179"/>
  <c r="AH178"/>
  <c r="AH177"/>
  <c r="AH176"/>
  <c r="AH170"/>
  <c r="AH169"/>
  <c r="AH168"/>
  <c r="AH167"/>
  <c r="AH166"/>
  <c r="AH165"/>
  <c r="AH163"/>
  <c r="AH162"/>
  <c r="AH161"/>
  <c r="AH160"/>
  <c r="AH159"/>
  <c r="AH149"/>
  <c r="AH148"/>
  <c r="AH147"/>
  <c r="AH145"/>
  <c r="AH144"/>
  <c r="AH140"/>
  <c r="AH139"/>
  <c r="AH138"/>
  <c r="AH137"/>
  <c r="AH132"/>
  <c r="AH131"/>
  <c r="AH130"/>
  <c r="AH129"/>
  <c r="AH128"/>
  <c r="AH126"/>
  <c r="AH125"/>
  <c r="AH121"/>
  <c r="AH119"/>
  <c r="AH118"/>
  <c r="AH117"/>
  <c r="AH115"/>
  <c r="AH114"/>
  <c r="AH112"/>
  <c r="AH111"/>
  <c r="AH87"/>
  <c r="AH86"/>
  <c r="AH85"/>
  <c r="AH84"/>
  <c r="AH79"/>
  <c r="AH78"/>
  <c r="AH77"/>
  <c r="AH76"/>
  <c r="AH75"/>
  <c r="AH74"/>
  <c r="AH72"/>
  <c r="AH65"/>
  <c r="AH64"/>
  <c r="AH63"/>
  <c r="AH62"/>
  <c r="AH61"/>
  <c r="AH60"/>
  <c r="AH58"/>
  <c r="AH57"/>
  <c r="AH56"/>
  <c r="AH55"/>
  <c r="AH54"/>
  <c r="AH53"/>
  <c r="D181" i="5"/>
  <c r="F181"/>
  <c r="C181"/>
  <c r="D158"/>
  <c r="D164"/>
  <c r="AH164" i="17"/>
  <c r="C164" i="5"/>
  <c r="C158"/>
  <c r="D154"/>
  <c r="D155"/>
  <c r="C154"/>
  <c r="D127"/>
  <c r="AH127" i="17"/>
  <c r="C127" i="5"/>
  <c r="D108"/>
  <c r="D109"/>
  <c r="AH109" i="17"/>
  <c r="D110" i="5"/>
  <c r="F110"/>
  <c r="D113"/>
  <c r="AH113" i="17"/>
  <c r="D116" i="5"/>
  <c r="AH116" i="17"/>
  <c r="D120" i="5"/>
  <c r="AH120" i="17"/>
  <c r="D121" i="5"/>
  <c r="C121"/>
  <c r="C120"/>
  <c r="C116"/>
  <c r="C113"/>
  <c r="C110"/>
  <c r="C109"/>
  <c r="C108"/>
  <c r="F7"/>
  <c r="F185"/>
  <c r="F184"/>
  <c r="F183"/>
  <c r="F182"/>
  <c r="F180"/>
  <c r="F179"/>
  <c r="F178"/>
  <c r="F177"/>
  <c r="F176"/>
  <c r="F175"/>
  <c r="F170"/>
  <c r="F169"/>
  <c r="F168"/>
  <c r="F167"/>
  <c r="F166"/>
  <c r="F165"/>
  <c r="F163"/>
  <c r="F162"/>
  <c r="F161"/>
  <c r="F160"/>
  <c r="F159"/>
  <c r="F158"/>
  <c r="F149"/>
  <c r="F148"/>
  <c r="F147"/>
  <c r="F146"/>
  <c r="F145"/>
  <c r="F144"/>
  <c r="F140"/>
  <c r="F139"/>
  <c r="F138"/>
  <c r="F137"/>
  <c r="F141"/>
  <c r="F132"/>
  <c r="F131"/>
  <c r="F130"/>
  <c r="F129"/>
  <c r="F128"/>
  <c r="F126"/>
  <c r="F125"/>
  <c r="F119"/>
  <c r="F118"/>
  <c r="F117"/>
  <c r="F115"/>
  <c r="F114"/>
  <c r="F112"/>
  <c r="F111"/>
  <c r="F100"/>
  <c r="F94"/>
  <c r="F93"/>
  <c r="F87"/>
  <c r="F86"/>
  <c r="F85"/>
  <c r="F84"/>
  <c r="F79"/>
  <c r="F78"/>
  <c r="F77"/>
  <c r="F76"/>
  <c r="F75"/>
  <c r="F74"/>
  <c r="F72"/>
  <c r="F65"/>
  <c r="F64"/>
  <c r="F63"/>
  <c r="F62"/>
  <c r="F61"/>
  <c r="F60"/>
  <c r="F58"/>
  <c r="F57"/>
  <c r="F56"/>
  <c r="F55"/>
  <c r="F54"/>
  <c r="F53"/>
  <c r="F48"/>
  <c r="F47"/>
  <c r="F46"/>
  <c r="F45"/>
  <c r="F44"/>
  <c r="F43"/>
  <c r="F42"/>
  <c r="F41"/>
  <c r="F49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D73"/>
  <c r="C73"/>
  <c r="AH59" i="17"/>
  <c r="D18" i="5"/>
  <c r="D97"/>
  <c r="C18"/>
  <c r="F18"/>
  <c r="D150"/>
  <c r="D141"/>
  <c r="D99"/>
  <c r="D88"/>
  <c r="D66"/>
  <c r="D49"/>
  <c r="AX7" i="21"/>
  <c r="AL7" i="17"/>
  <c r="E179" i="10"/>
  <c r="AU188" i="2"/>
  <c r="AY188"/>
  <c r="AT188"/>
  <c r="AX188"/>
  <c r="AM188"/>
  <c r="W188"/>
  <c r="AO188"/>
  <c r="X188"/>
  <c r="AB188"/>
  <c r="AF188"/>
  <c r="AJ188"/>
  <c r="AN188"/>
  <c r="AR188"/>
  <c r="AV188"/>
  <c r="V188"/>
  <c r="Z188"/>
  <c r="AD188"/>
  <c r="AH188"/>
  <c r="AL188"/>
  <c r="AS188"/>
  <c r="AW188"/>
  <c r="AP188"/>
  <c r="D133" i="5"/>
  <c r="F73"/>
  <c r="D171"/>
  <c r="D186"/>
  <c r="AH108" i="17"/>
  <c r="AH154"/>
  <c r="D80" i="5"/>
  <c r="D101"/>
  <c r="AH73" i="17"/>
  <c r="AH158"/>
  <c r="F59" i="5"/>
  <c r="F66"/>
  <c r="F113"/>
  <c r="AH110" i="17"/>
  <c r="F116" i="5"/>
  <c r="AH181" i="17"/>
  <c r="AG158"/>
  <c r="D171" i="4"/>
  <c r="G17"/>
  <c r="G38"/>
  <c r="AG164" i="17"/>
  <c r="G171" i="4"/>
  <c r="G49"/>
  <c r="G66"/>
  <c r="G133"/>
  <c r="G141"/>
  <c r="G80"/>
  <c r="G90"/>
  <c r="G88"/>
  <c r="G150"/>
  <c r="D68"/>
  <c r="G186"/>
  <c r="D188"/>
  <c r="D95"/>
  <c r="D96"/>
  <c r="D101"/>
  <c r="D97"/>
  <c r="D98"/>
  <c r="F154" i="5"/>
  <c r="F155"/>
  <c r="F127"/>
  <c r="F133"/>
  <c r="F121"/>
  <c r="F108"/>
  <c r="F186"/>
  <c r="F88"/>
  <c r="D38"/>
  <c r="F38"/>
  <c r="D122"/>
  <c r="D188"/>
  <c r="F80"/>
  <c r="F90"/>
  <c r="F150"/>
  <c r="D68"/>
  <c r="D96"/>
  <c r="D98"/>
  <c r="F68"/>
  <c r="D95"/>
  <c r="D90"/>
  <c r="G68" i="4"/>
  <c r="D102"/>
  <c r="D104"/>
  <c r="D192"/>
  <c r="D102" i="5"/>
  <c r="D104"/>
  <c r="D192"/>
  <c r="E186" i="6"/>
  <c r="D186"/>
  <c r="C186"/>
  <c r="E171"/>
  <c r="D171"/>
  <c r="C171"/>
  <c r="E155"/>
  <c r="D155"/>
  <c r="C155"/>
  <c r="E150"/>
  <c r="D150"/>
  <c r="C150"/>
  <c r="E141"/>
  <c r="D141"/>
  <c r="C141"/>
  <c r="E133"/>
  <c r="D133"/>
  <c r="C133"/>
  <c r="E122"/>
  <c r="D122"/>
  <c r="C122"/>
  <c r="C80"/>
  <c r="C90"/>
  <c r="E68"/>
  <c r="E66"/>
  <c r="D66"/>
  <c r="C66"/>
  <c r="E49"/>
  <c r="D49"/>
  <c r="C49"/>
  <c r="E38"/>
  <c r="D38"/>
  <c r="D68"/>
  <c r="C38"/>
  <c r="C68"/>
  <c r="C186" i="5"/>
  <c r="C155"/>
  <c r="C150"/>
  <c r="C141"/>
  <c r="C133"/>
  <c r="C88"/>
  <c r="C80"/>
  <c r="C90"/>
  <c r="C66"/>
  <c r="C49"/>
  <c r="C38"/>
  <c r="C186" i="4"/>
  <c r="C171"/>
  <c r="C155"/>
  <c r="C150"/>
  <c r="C141"/>
  <c r="C133"/>
  <c r="C88"/>
  <c r="C80"/>
  <c r="C90"/>
  <c r="C66"/>
  <c r="C49"/>
  <c r="C68"/>
  <c r="C38"/>
  <c r="H186" i="3"/>
  <c r="G186"/>
  <c r="F186"/>
  <c r="E186"/>
  <c r="D186"/>
  <c r="C186"/>
  <c r="H171"/>
  <c r="G171"/>
  <c r="F171"/>
  <c r="E171"/>
  <c r="D171"/>
  <c r="C171"/>
  <c r="H155"/>
  <c r="G155"/>
  <c r="F155"/>
  <c r="E155"/>
  <c r="D155"/>
  <c r="C155"/>
  <c r="H150"/>
  <c r="G150"/>
  <c r="F150"/>
  <c r="E150"/>
  <c r="D150"/>
  <c r="C150"/>
  <c r="H141"/>
  <c r="G141"/>
  <c r="F141"/>
  <c r="E141"/>
  <c r="D141"/>
  <c r="C141"/>
  <c r="H133"/>
  <c r="G133"/>
  <c r="F133"/>
  <c r="E133"/>
  <c r="D133"/>
  <c r="C133"/>
  <c r="H122"/>
  <c r="G122"/>
  <c r="F122"/>
  <c r="E122"/>
  <c r="D122"/>
  <c r="C122"/>
  <c r="H104"/>
  <c r="H102"/>
  <c r="H90"/>
  <c r="H80"/>
  <c r="D68"/>
  <c r="E68"/>
  <c r="F68"/>
  <c r="G68"/>
  <c r="H68"/>
  <c r="C68"/>
  <c r="D188" i="6"/>
  <c r="C188"/>
  <c r="E188"/>
  <c r="C68" i="5"/>
  <c r="Q158" i="17"/>
  <c r="G185" i="9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F171"/>
  <c r="E158"/>
  <c r="E171"/>
  <c r="D158"/>
  <c r="D171"/>
  <c r="G154"/>
  <c r="G155"/>
  <c r="F154"/>
  <c r="F155"/>
  <c r="E154"/>
  <c r="E155"/>
  <c r="D154"/>
  <c r="D155"/>
  <c r="G149"/>
  <c r="F149"/>
  <c r="E149"/>
  <c r="D149"/>
  <c r="G148"/>
  <c r="F148"/>
  <c r="E148"/>
  <c r="D148"/>
  <c r="G147"/>
  <c r="F147"/>
  <c r="E147"/>
  <c r="D147"/>
  <c r="G145"/>
  <c r="F145"/>
  <c r="E145"/>
  <c r="D145"/>
  <c r="G144"/>
  <c r="G150"/>
  <c r="F144"/>
  <c r="F150"/>
  <c r="E144"/>
  <c r="E150"/>
  <c r="D144"/>
  <c r="D150"/>
  <c r="G140"/>
  <c r="F140"/>
  <c r="E140"/>
  <c r="D140"/>
  <c r="G139"/>
  <c r="F139"/>
  <c r="E139"/>
  <c r="D139"/>
  <c r="G138"/>
  <c r="F138"/>
  <c r="E138"/>
  <c r="D138"/>
  <c r="G137"/>
  <c r="G141"/>
  <c r="F137"/>
  <c r="F141"/>
  <c r="E137"/>
  <c r="E141"/>
  <c r="D137"/>
  <c r="D141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G133"/>
  <c r="F125"/>
  <c r="F133"/>
  <c r="E125"/>
  <c r="E133"/>
  <c r="D125"/>
  <c r="D133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G122"/>
  <c r="F108"/>
  <c r="E108"/>
  <c r="D108"/>
  <c r="D122"/>
  <c r="G87"/>
  <c r="F87"/>
  <c r="E87"/>
  <c r="D87"/>
  <c r="G86"/>
  <c r="F86"/>
  <c r="E86"/>
  <c r="D86"/>
  <c r="G85"/>
  <c r="F85"/>
  <c r="E85"/>
  <c r="D85"/>
  <c r="G84"/>
  <c r="G88"/>
  <c r="F84"/>
  <c r="F88"/>
  <c r="E84"/>
  <c r="E88"/>
  <c r="D84"/>
  <c r="D88"/>
  <c r="G79"/>
  <c r="F79"/>
  <c r="E79"/>
  <c r="D79"/>
  <c r="G78"/>
  <c r="F78"/>
  <c r="E78"/>
  <c r="D78"/>
  <c r="G77"/>
  <c r="E77"/>
  <c r="D77"/>
  <c r="G76"/>
  <c r="F76"/>
  <c r="D76"/>
  <c r="G75"/>
  <c r="F75"/>
  <c r="E75"/>
  <c r="D75"/>
  <c r="G74"/>
  <c r="F74"/>
  <c r="E74"/>
  <c r="D74"/>
  <c r="G73"/>
  <c r="F73"/>
  <c r="E73"/>
  <c r="D73"/>
  <c r="F72"/>
  <c r="E72"/>
  <c r="D72"/>
  <c r="G65"/>
  <c r="F65"/>
  <c r="E65"/>
  <c r="D65"/>
  <c r="G64"/>
  <c r="F64"/>
  <c r="E64"/>
  <c r="D64"/>
  <c r="G63"/>
  <c r="F63"/>
  <c r="E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G66"/>
  <c r="F53"/>
  <c r="F66"/>
  <c r="E53"/>
  <c r="E66"/>
  <c r="D53"/>
  <c r="D66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G49"/>
  <c r="F41"/>
  <c r="E41"/>
  <c r="E49"/>
  <c r="D41"/>
  <c r="D49"/>
  <c r="G37"/>
  <c r="F37"/>
  <c r="E37"/>
  <c r="D37"/>
  <c r="G36"/>
  <c r="F36"/>
  <c r="E36"/>
  <c r="D36"/>
  <c r="G35"/>
  <c r="F35"/>
  <c r="E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G38"/>
  <c r="E13"/>
  <c r="F13"/>
  <c r="D13"/>
  <c r="Q185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4"/>
  <c r="Q154"/>
  <c r="Q155"/>
  <c r="R149"/>
  <c r="Q149"/>
  <c r="R148"/>
  <c r="Q148"/>
  <c r="R147"/>
  <c r="Q147"/>
  <c r="R145"/>
  <c r="Q145"/>
  <c r="R144"/>
  <c r="Q144"/>
  <c r="R140"/>
  <c r="Q140"/>
  <c r="R139"/>
  <c r="Q139"/>
  <c r="R138"/>
  <c r="Q138"/>
  <c r="R137"/>
  <c r="Q137"/>
  <c r="R132"/>
  <c r="Q132"/>
  <c r="R131"/>
  <c r="Q131"/>
  <c r="R130"/>
  <c r="Q130"/>
  <c r="R129"/>
  <c r="Q129"/>
  <c r="R128"/>
  <c r="Q128"/>
  <c r="R127"/>
  <c r="Q127"/>
  <c r="R126"/>
  <c r="Q126"/>
  <c r="R125"/>
  <c r="Q125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87"/>
  <c r="Q87"/>
  <c r="R86"/>
  <c r="Q86"/>
  <c r="R85"/>
  <c r="Q85"/>
  <c r="R84"/>
  <c r="Q84"/>
  <c r="R83"/>
  <c r="Q83"/>
  <c r="R79"/>
  <c r="Q79"/>
  <c r="R78"/>
  <c r="Q78"/>
  <c r="R77"/>
  <c r="Q76"/>
  <c r="R75"/>
  <c r="Q75"/>
  <c r="R74"/>
  <c r="Q74"/>
  <c r="R73"/>
  <c r="Q73"/>
  <c r="R72"/>
  <c r="R65"/>
  <c r="Q65"/>
  <c r="R64"/>
  <c r="Q64"/>
  <c r="R63"/>
  <c r="Q63"/>
  <c r="R62"/>
  <c r="Q62"/>
  <c r="R61"/>
  <c r="Q61"/>
  <c r="R60"/>
  <c r="Q60"/>
  <c r="R59"/>
  <c r="Q59"/>
  <c r="Q58"/>
  <c r="R57"/>
  <c r="Q57"/>
  <c r="R56"/>
  <c r="Q56"/>
  <c r="R55"/>
  <c r="Q55"/>
  <c r="R54"/>
  <c r="Q54"/>
  <c r="R53"/>
  <c r="Q53"/>
  <c r="R48"/>
  <c r="Q48"/>
  <c r="R47"/>
  <c r="Q47"/>
  <c r="R46"/>
  <c r="Q46"/>
  <c r="R45"/>
  <c r="Q45"/>
  <c r="R44"/>
  <c r="Q44"/>
  <c r="R43"/>
  <c r="Q43"/>
  <c r="R42"/>
  <c r="R41"/>
  <c r="R49"/>
  <c r="Q42"/>
  <c r="Q41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O185"/>
  <c r="O184"/>
  <c r="O183"/>
  <c r="O182"/>
  <c r="O181"/>
  <c r="O180"/>
  <c r="O179"/>
  <c r="O178"/>
  <c r="O177"/>
  <c r="O176"/>
  <c r="O175"/>
  <c r="O170"/>
  <c r="O169"/>
  <c r="O168"/>
  <c r="O167"/>
  <c r="O166"/>
  <c r="O165"/>
  <c r="O164"/>
  <c r="O163"/>
  <c r="O162"/>
  <c r="O161"/>
  <c r="O160"/>
  <c r="O159"/>
  <c r="O158"/>
  <c r="O154"/>
  <c r="O149"/>
  <c r="O148"/>
  <c r="O147"/>
  <c r="O145"/>
  <c r="O144"/>
  <c r="O140"/>
  <c r="O139"/>
  <c r="O138"/>
  <c r="O137"/>
  <c r="O132"/>
  <c r="O131"/>
  <c r="O130"/>
  <c r="O129"/>
  <c r="O128"/>
  <c r="O127"/>
  <c r="O126"/>
  <c r="O125"/>
  <c r="O121"/>
  <c r="O120"/>
  <c r="O119"/>
  <c r="O118"/>
  <c r="O117"/>
  <c r="O116"/>
  <c r="O115"/>
  <c r="O114"/>
  <c r="O113"/>
  <c r="O112"/>
  <c r="O111"/>
  <c r="O110"/>
  <c r="O109"/>
  <c r="O108"/>
  <c r="O93"/>
  <c r="O94"/>
  <c r="O99"/>
  <c r="T100"/>
  <c r="L100" i="1"/>
  <c r="O87" i="9"/>
  <c r="O86"/>
  <c r="O85"/>
  <c r="O84"/>
  <c r="O83"/>
  <c r="O79"/>
  <c r="O78"/>
  <c r="O77"/>
  <c r="O76"/>
  <c r="O75"/>
  <c r="O74"/>
  <c r="O73"/>
  <c r="O65"/>
  <c r="O64"/>
  <c r="O63"/>
  <c r="O62"/>
  <c r="O61"/>
  <c r="O60"/>
  <c r="O59"/>
  <c r="O58"/>
  <c r="O57"/>
  <c r="O56"/>
  <c r="O55"/>
  <c r="O54"/>
  <c r="O53"/>
  <c r="O48"/>
  <c r="O47"/>
  <c r="O46"/>
  <c r="O45"/>
  <c r="O44"/>
  <c r="O43"/>
  <c r="O42"/>
  <c r="O41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J185"/>
  <c r="I185"/>
  <c r="H185"/>
  <c r="J184"/>
  <c r="I184"/>
  <c r="H184"/>
  <c r="J183"/>
  <c r="I183"/>
  <c r="H183"/>
  <c r="J182"/>
  <c r="I182"/>
  <c r="H182"/>
  <c r="J181"/>
  <c r="I181"/>
  <c r="H181"/>
  <c r="J180"/>
  <c r="I180"/>
  <c r="H180"/>
  <c r="J179"/>
  <c r="I179"/>
  <c r="H179"/>
  <c r="J178"/>
  <c r="I178"/>
  <c r="H178"/>
  <c r="J177"/>
  <c r="I177"/>
  <c r="H177"/>
  <c r="J176"/>
  <c r="I176"/>
  <c r="H176"/>
  <c r="J175"/>
  <c r="I175"/>
  <c r="H175"/>
  <c r="H186"/>
  <c r="J170"/>
  <c r="I170"/>
  <c r="H170"/>
  <c r="J169"/>
  <c r="I169"/>
  <c r="H169"/>
  <c r="J168"/>
  <c r="I168"/>
  <c r="H168"/>
  <c r="J167"/>
  <c r="I167"/>
  <c r="H167"/>
  <c r="J166"/>
  <c r="I166"/>
  <c r="H166"/>
  <c r="J165"/>
  <c r="I165"/>
  <c r="H165"/>
  <c r="J164"/>
  <c r="I164"/>
  <c r="H164"/>
  <c r="J163"/>
  <c r="I163"/>
  <c r="H163"/>
  <c r="J162"/>
  <c r="I162"/>
  <c r="H162"/>
  <c r="J161"/>
  <c r="I161"/>
  <c r="H161"/>
  <c r="J160"/>
  <c r="I160"/>
  <c r="H160"/>
  <c r="J159"/>
  <c r="I159"/>
  <c r="H159"/>
  <c r="J158"/>
  <c r="I158"/>
  <c r="J154"/>
  <c r="I154"/>
  <c r="I155"/>
  <c r="H154"/>
  <c r="H155"/>
  <c r="J149"/>
  <c r="I149"/>
  <c r="H149"/>
  <c r="J148"/>
  <c r="I148"/>
  <c r="J147"/>
  <c r="I147"/>
  <c r="H147"/>
  <c r="J145"/>
  <c r="I145"/>
  <c r="H145"/>
  <c r="J144"/>
  <c r="I144"/>
  <c r="H144"/>
  <c r="J140"/>
  <c r="I140"/>
  <c r="I137"/>
  <c r="I138"/>
  <c r="I139"/>
  <c r="I141"/>
  <c r="H140"/>
  <c r="J139"/>
  <c r="H139"/>
  <c r="J138"/>
  <c r="H138"/>
  <c r="J137"/>
  <c r="J141"/>
  <c r="H137"/>
  <c r="J132"/>
  <c r="I132"/>
  <c r="H132"/>
  <c r="J131"/>
  <c r="I131"/>
  <c r="H131"/>
  <c r="J130"/>
  <c r="I130"/>
  <c r="H130"/>
  <c r="J129"/>
  <c r="I129"/>
  <c r="H129"/>
  <c r="J128"/>
  <c r="I128"/>
  <c r="H128"/>
  <c r="J127"/>
  <c r="I127"/>
  <c r="I125"/>
  <c r="I126"/>
  <c r="I133"/>
  <c r="H127"/>
  <c r="J126"/>
  <c r="H126"/>
  <c r="J125"/>
  <c r="J133"/>
  <c r="H125"/>
  <c r="J121"/>
  <c r="I121"/>
  <c r="H121"/>
  <c r="J120"/>
  <c r="I120"/>
  <c r="H120"/>
  <c r="J119"/>
  <c r="I119"/>
  <c r="H119"/>
  <c r="J118"/>
  <c r="I118"/>
  <c r="H118"/>
  <c r="J117"/>
  <c r="I117"/>
  <c r="H117"/>
  <c r="J116"/>
  <c r="I116"/>
  <c r="H116"/>
  <c r="J115"/>
  <c r="I115"/>
  <c r="H115"/>
  <c r="J114"/>
  <c r="I114"/>
  <c r="H114"/>
  <c r="J113"/>
  <c r="I113"/>
  <c r="H113"/>
  <c r="J112"/>
  <c r="I112"/>
  <c r="H112"/>
  <c r="J111"/>
  <c r="I111"/>
  <c r="H111"/>
  <c r="J110"/>
  <c r="I110"/>
  <c r="H110"/>
  <c r="J109"/>
  <c r="I122"/>
  <c r="H109"/>
  <c r="J108"/>
  <c r="H108"/>
  <c r="J87"/>
  <c r="I87"/>
  <c r="H87"/>
  <c r="J86"/>
  <c r="I86"/>
  <c r="H86"/>
  <c r="J85"/>
  <c r="I85"/>
  <c r="H85"/>
  <c r="J84"/>
  <c r="I84"/>
  <c r="H84"/>
  <c r="J79"/>
  <c r="I79"/>
  <c r="H79"/>
  <c r="J78"/>
  <c r="I78"/>
  <c r="I73"/>
  <c r="I74"/>
  <c r="I75"/>
  <c r="I80"/>
  <c r="H78"/>
  <c r="J77"/>
  <c r="J76"/>
  <c r="H76"/>
  <c r="J75"/>
  <c r="H75"/>
  <c r="J74"/>
  <c r="H74"/>
  <c r="J73"/>
  <c r="H73"/>
  <c r="H72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I13"/>
  <c r="J13"/>
  <c r="H13"/>
  <c r="D186"/>
  <c r="C171"/>
  <c r="J155"/>
  <c r="O155"/>
  <c r="C133"/>
  <c r="C122"/>
  <c r="C88"/>
  <c r="T7"/>
  <c r="R155"/>
  <c r="R99"/>
  <c r="R94"/>
  <c r="R93"/>
  <c r="Q99"/>
  <c r="Q94"/>
  <c r="Q93"/>
  <c r="J99"/>
  <c r="I99"/>
  <c r="H99"/>
  <c r="J94"/>
  <c r="I94"/>
  <c r="H94"/>
  <c r="J93"/>
  <c r="I93"/>
  <c r="H93"/>
  <c r="G171"/>
  <c r="G99"/>
  <c r="G94"/>
  <c r="G93"/>
  <c r="F99"/>
  <c r="E99"/>
  <c r="D99"/>
  <c r="F94"/>
  <c r="E94"/>
  <c r="D94"/>
  <c r="F93"/>
  <c r="E93"/>
  <c r="D93"/>
  <c r="J185" i="7"/>
  <c r="J184"/>
  <c r="J183"/>
  <c r="J182"/>
  <c r="J181"/>
  <c r="J180"/>
  <c r="J179"/>
  <c r="J178"/>
  <c r="J177"/>
  <c r="J176"/>
  <c r="J175"/>
  <c r="J170"/>
  <c r="J169"/>
  <c r="J168"/>
  <c r="J167"/>
  <c r="J166"/>
  <c r="J165"/>
  <c r="J164"/>
  <c r="J163"/>
  <c r="J162"/>
  <c r="J161"/>
  <c r="J160"/>
  <c r="J159"/>
  <c r="J154"/>
  <c r="J149"/>
  <c r="J147"/>
  <c r="J146"/>
  <c r="J145"/>
  <c r="J144"/>
  <c r="J140"/>
  <c r="J139"/>
  <c r="J138"/>
  <c r="J137"/>
  <c r="J141"/>
  <c r="J132"/>
  <c r="J131"/>
  <c r="J130"/>
  <c r="J129"/>
  <c r="J128"/>
  <c r="J127"/>
  <c r="J126"/>
  <c r="J125"/>
  <c r="J133"/>
  <c r="J121"/>
  <c r="J120"/>
  <c r="J119"/>
  <c r="J118"/>
  <c r="J117"/>
  <c r="J116"/>
  <c r="J115"/>
  <c r="J114"/>
  <c r="J113"/>
  <c r="J112"/>
  <c r="J111"/>
  <c r="J110"/>
  <c r="J109"/>
  <c r="J108"/>
  <c r="J100"/>
  <c r="J87"/>
  <c r="J86"/>
  <c r="J85"/>
  <c r="J84"/>
  <c r="J79"/>
  <c r="J78"/>
  <c r="J75"/>
  <c r="J74"/>
  <c r="J73"/>
  <c r="J65"/>
  <c r="J64"/>
  <c r="J63"/>
  <c r="J62"/>
  <c r="J61"/>
  <c r="J60"/>
  <c r="J59"/>
  <c r="J58"/>
  <c r="J57"/>
  <c r="J56"/>
  <c r="J55"/>
  <c r="J54"/>
  <c r="J53"/>
  <c r="J48"/>
  <c r="J47"/>
  <c r="J46"/>
  <c r="J45"/>
  <c r="J44"/>
  <c r="J43"/>
  <c r="J42"/>
  <c r="J41"/>
  <c r="J49"/>
  <c r="J40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38"/>
  <c r="E93"/>
  <c r="D93"/>
  <c r="C93"/>
  <c r="D80"/>
  <c r="D90"/>
  <c r="D68"/>
  <c r="E68"/>
  <c r="F68"/>
  <c r="G68"/>
  <c r="H68"/>
  <c r="D66"/>
  <c r="E66"/>
  <c r="F66"/>
  <c r="G66"/>
  <c r="H66"/>
  <c r="D49"/>
  <c r="E49"/>
  <c r="F49"/>
  <c r="G49"/>
  <c r="H49"/>
  <c r="D38"/>
  <c r="E38"/>
  <c r="F38"/>
  <c r="G38"/>
  <c r="H38"/>
  <c r="D88"/>
  <c r="E88"/>
  <c r="F88"/>
  <c r="G88"/>
  <c r="H88"/>
  <c r="D122"/>
  <c r="E122"/>
  <c r="F122"/>
  <c r="G122"/>
  <c r="H122"/>
  <c r="D133"/>
  <c r="E133"/>
  <c r="F133"/>
  <c r="G133"/>
  <c r="H133"/>
  <c r="D141"/>
  <c r="E141"/>
  <c r="F141"/>
  <c r="G141"/>
  <c r="H141"/>
  <c r="D150"/>
  <c r="E150"/>
  <c r="F150"/>
  <c r="G150"/>
  <c r="H150"/>
  <c r="D155"/>
  <c r="E155"/>
  <c r="F155"/>
  <c r="G155"/>
  <c r="H155"/>
  <c r="D171"/>
  <c r="E171"/>
  <c r="F171"/>
  <c r="G171"/>
  <c r="H171"/>
  <c r="D186"/>
  <c r="E186"/>
  <c r="F186"/>
  <c r="G186"/>
  <c r="H186"/>
  <c r="J88"/>
  <c r="J155"/>
  <c r="J66"/>
  <c r="J13"/>
  <c r="C186"/>
  <c r="C155"/>
  <c r="C141"/>
  <c r="C133"/>
  <c r="C122"/>
  <c r="D186" i="8"/>
  <c r="E186"/>
  <c r="F186"/>
  <c r="C186"/>
  <c r="D171"/>
  <c r="E171"/>
  <c r="F171"/>
  <c r="C171"/>
  <c r="D155"/>
  <c r="E155"/>
  <c r="F155"/>
  <c r="C155"/>
  <c r="D150"/>
  <c r="E150"/>
  <c r="F150"/>
  <c r="C150"/>
  <c r="D141"/>
  <c r="E141"/>
  <c r="F141"/>
  <c r="C141"/>
  <c r="D133"/>
  <c r="E133"/>
  <c r="F133"/>
  <c r="C133"/>
  <c r="D122"/>
  <c r="E122"/>
  <c r="F122"/>
  <c r="C122"/>
  <c r="F138"/>
  <c r="AX114" i="21"/>
  <c r="AX108"/>
  <c r="AN158"/>
  <c r="AN168"/>
  <c r="AY66" i="2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AY49"/>
  <c r="AX49"/>
  <c r="AW49"/>
  <c r="AW68"/>
  <c r="AV49"/>
  <c r="AV68"/>
  <c r="AU49"/>
  <c r="AT49"/>
  <c r="AS49"/>
  <c r="AS68"/>
  <c r="AR49"/>
  <c r="AR68"/>
  <c r="AQ49"/>
  <c r="AP49"/>
  <c r="AO49"/>
  <c r="AO68"/>
  <c r="AN49"/>
  <c r="AN68"/>
  <c r="AM49"/>
  <c r="AL49"/>
  <c r="AK49"/>
  <c r="AK68"/>
  <c r="AJ49"/>
  <c r="AJ68"/>
  <c r="AI49"/>
  <c r="AH49"/>
  <c r="AG49"/>
  <c r="AG68"/>
  <c r="AF49"/>
  <c r="AF68"/>
  <c r="AE49"/>
  <c r="AD49"/>
  <c r="AC49"/>
  <c r="AC68"/>
  <c r="AB49"/>
  <c r="AB68"/>
  <c r="AA49"/>
  <c r="Z49"/>
  <c r="Y49"/>
  <c r="Y68"/>
  <c r="X49"/>
  <c r="X68"/>
  <c r="W49"/>
  <c r="V49"/>
  <c r="U49"/>
  <c r="U68"/>
  <c r="T49"/>
  <c r="T68"/>
  <c r="S49"/>
  <c r="R49"/>
  <c r="Q49"/>
  <c r="Q68"/>
  <c r="P49"/>
  <c r="P68"/>
  <c r="O49"/>
  <c r="N49"/>
  <c r="M49"/>
  <c r="M68"/>
  <c r="L49"/>
  <c r="L68"/>
  <c r="K49"/>
  <c r="J49"/>
  <c r="AY38"/>
  <c r="AY68"/>
  <c r="AX38"/>
  <c r="AX68"/>
  <c r="AW38"/>
  <c r="AV38"/>
  <c r="AU38"/>
  <c r="AU68"/>
  <c r="AT38"/>
  <c r="AT68"/>
  <c r="AS38"/>
  <c r="AR38"/>
  <c r="AQ38"/>
  <c r="AQ68"/>
  <c r="AP38"/>
  <c r="AP68"/>
  <c r="AO38"/>
  <c r="AN38"/>
  <c r="AM38"/>
  <c r="AM68"/>
  <c r="AL38"/>
  <c r="AL68"/>
  <c r="AK38"/>
  <c r="AJ38"/>
  <c r="AI38"/>
  <c r="AI68"/>
  <c r="AH38"/>
  <c r="AH68"/>
  <c r="AG38"/>
  <c r="AF38"/>
  <c r="AE38"/>
  <c r="AE68"/>
  <c r="AD38"/>
  <c r="AD68"/>
  <c r="AC38"/>
  <c r="AB38"/>
  <c r="AA38"/>
  <c r="AA68"/>
  <c r="Z38"/>
  <c r="Z68"/>
  <c r="Y38"/>
  <c r="X38"/>
  <c r="W38"/>
  <c r="W68"/>
  <c r="V38"/>
  <c r="V68"/>
  <c r="U38"/>
  <c r="T38"/>
  <c r="S38"/>
  <c r="S68"/>
  <c r="R38"/>
  <c r="R68"/>
  <c r="Q38"/>
  <c r="P38"/>
  <c r="O38"/>
  <c r="O68"/>
  <c r="N38"/>
  <c r="N68"/>
  <c r="M38"/>
  <c r="L38"/>
  <c r="K38"/>
  <c r="K68"/>
  <c r="J38"/>
  <c r="J68"/>
  <c r="AF72" i="17"/>
  <c r="AS72" i="21"/>
  <c r="AS53"/>
  <c r="AS54"/>
  <c r="AS55"/>
  <c r="AS56"/>
  <c r="AS57"/>
  <c r="AS58"/>
  <c r="AS59"/>
  <c r="AS60"/>
  <c r="AS61"/>
  <c r="AS62"/>
  <c r="AS63"/>
  <c r="AS64"/>
  <c r="AS65"/>
  <c r="AS73"/>
  <c r="AS74"/>
  <c r="AS75"/>
  <c r="AS76"/>
  <c r="AS77"/>
  <c r="AS78"/>
  <c r="AS79"/>
  <c r="AS84"/>
  <c r="AS85"/>
  <c r="AS86"/>
  <c r="AS87"/>
  <c r="AS93"/>
  <c r="AS94"/>
  <c r="AS99"/>
  <c r="AS108"/>
  <c r="AS109"/>
  <c r="AS111"/>
  <c r="AS112"/>
  <c r="AS113"/>
  <c r="AS114"/>
  <c r="AS115"/>
  <c r="AS116"/>
  <c r="AS117"/>
  <c r="AS118"/>
  <c r="AS119"/>
  <c r="AS120"/>
  <c r="AS121"/>
  <c r="AS125"/>
  <c r="AS126"/>
  <c r="AS127"/>
  <c r="AS128"/>
  <c r="AS129"/>
  <c r="AS130"/>
  <c r="AS131"/>
  <c r="AS132"/>
  <c r="AS137"/>
  <c r="AS138"/>
  <c r="AS139"/>
  <c r="AS140"/>
  <c r="AS144"/>
  <c r="AS145"/>
  <c r="AS147"/>
  <c r="AS148"/>
  <c r="AS149"/>
  <c r="AS155"/>
  <c r="AS159"/>
  <c r="AS160"/>
  <c r="AS161"/>
  <c r="AS162"/>
  <c r="AS163"/>
  <c r="AS164"/>
  <c r="AS165"/>
  <c r="AS166"/>
  <c r="AS169"/>
  <c r="AS170"/>
  <c r="AS176"/>
  <c r="AS177"/>
  <c r="AS178"/>
  <c r="AS179"/>
  <c r="AS180"/>
  <c r="AS181"/>
  <c r="AS182"/>
  <c r="AS183"/>
  <c r="AS184"/>
  <c r="AS185"/>
  <c r="Y38" i="17"/>
  <c r="X38"/>
  <c r="W38"/>
  <c r="V38"/>
  <c r="U38"/>
  <c r="T38"/>
  <c r="S38"/>
  <c r="R38"/>
  <c r="Q38"/>
  <c r="P38"/>
  <c r="O38"/>
  <c r="N38"/>
  <c r="M38"/>
  <c r="L38"/>
  <c r="J38"/>
  <c r="I38"/>
  <c r="Y49"/>
  <c r="X49"/>
  <c r="W49"/>
  <c r="V49"/>
  <c r="U49"/>
  <c r="T49"/>
  <c r="S49"/>
  <c r="R49"/>
  <c r="Q49"/>
  <c r="P49"/>
  <c r="O49"/>
  <c r="N49"/>
  <c r="M49"/>
  <c r="L49"/>
  <c r="J49"/>
  <c r="I49"/>
  <c r="Y66"/>
  <c r="X66"/>
  <c r="W66"/>
  <c r="V66"/>
  <c r="U66"/>
  <c r="T66"/>
  <c r="S66"/>
  <c r="R66"/>
  <c r="Q66"/>
  <c r="P66"/>
  <c r="O66"/>
  <c r="N66"/>
  <c r="M66"/>
  <c r="L66"/>
  <c r="J66"/>
  <c r="I66"/>
  <c r="Y68"/>
  <c r="X68"/>
  <c r="W68"/>
  <c r="V68"/>
  <c r="U68"/>
  <c r="T68"/>
  <c r="S68"/>
  <c r="R68"/>
  <c r="Q68"/>
  <c r="P68"/>
  <c r="O68"/>
  <c r="N68"/>
  <c r="M68"/>
  <c r="L68"/>
  <c r="J68"/>
  <c r="I68"/>
  <c r="V88"/>
  <c r="Y122"/>
  <c r="X122"/>
  <c r="W122"/>
  <c r="V122"/>
  <c r="U122"/>
  <c r="T122"/>
  <c r="S122"/>
  <c r="R122"/>
  <c r="Q122"/>
  <c r="P122"/>
  <c r="O122"/>
  <c r="N122"/>
  <c r="M122"/>
  <c r="L122"/>
  <c r="J122"/>
  <c r="I122"/>
  <c r="Y133"/>
  <c r="X133"/>
  <c r="W133"/>
  <c r="V133"/>
  <c r="U133"/>
  <c r="T133"/>
  <c r="S133"/>
  <c r="R133"/>
  <c r="Q133"/>
  <c r="P133"/>
  <c r="O133"/>
  <c r="N133"/>
  <c r="M133"/>
  <c r="L133"/>
  <c r="J133"/>
  <c r="I133"/>
  <c r="Y141"/>
  <c r="X141"/>
  <c r="W141"/>
  <c r="V141"/>
  <c r="U141"/>
  <c r="T141"/>
  <c r="S141"/>
  <c r="R141"/>
  <c r="Q141"/>
  <c r="P141"/>
  <c r="O141"/>
  <c r="N141"/>
  <c r="M141"/>
  <c r="L141"/>
  <c r="J141"/>
  <c r="I141"/>
  <c r="Y150"/>
  <c r="X150"/>
  <c r="W150"/>
  <c r="V150"/>
  <c r="U150"/>
  <c r="T150"/>
  <c r="S150"/>
  <c r="R150"/>
  <c r="Q150"/>
  <c r="P150"/>
  <c r="O150"/>
  <c r="N150"/>
  <c r="M150"/>
  <c r="L150"/>
  <c r="J150"/>
  <c r="I150"/>
  <c r="Y155"/>
  <c r="X155"/>
  <c r="W155"/>
  <c r="V155"/>
  <c r="U155"/>
  <c r="T155"/>
  <c r="S155"/>
  <c r="R155"/>
  <c r="Q155"/>
  <c r="P155"/>
  <c r="O155"/>
  <c r="N155"/>
  <c r="M155"/>
  <c r="L155"/>
  <c r="J155"/>
  <c r="I155"/>
  <c r="Y171"/>
  <c r="X171"/>
  <c r="V171"/>
  <c r="T171"/>
  <c r="S171"/>
  <c r="R171"/>
  <c r="Q171"/>
  <c r="P171"/>
  <c r="Y186"/>
  <c r="X186"/>
  <c r="W186"/>
  <c r="V186"/>
  <c r="U186"/>
  <c r="T186"/>
  <c r="S186"/>
  <c r="R186"/>
  <c r="Q186"/>
  <c r="P186"/>
  <c r="O186"/>
  <c r="N186"/>
  <c r="M186"/>
  <c r="L186"/>
  <c r="J186"/>
  <c r="I186"/>
  <c r="AF53"/>
  <c r="AF54"/>
  <c r="AF55"/>
  <c r="AF56"/>
  <c r="AF57"/>
  <c r="AF58"/>
  <c r="AF59"/>
  <c r="AF60"/>
  <c r="AF61"/>
  <c r="AF62"/>
  <c r="AF63"/>
  <c r="AF64"/>
  <c r="AF65"/>
  <c r="AF73"/>
  <c r="AF74"/>
  <c r="AF75"/>
  <c r="AF76"/>
  <c r="AF77"/>
  <c r="AF78"/>
  <c r="AF79"/>
  <c r="AF84"/>
  <c r="AF85"/>
  <c r="AF86"/>
  <c r="AF87"/>
  <c r="AF93"/>
  <c r="AF94"/>
  <c r="AF99"/>
  <c r="AF108"/>
  <c r="AF109"/>
  <c r="AF110"/>
  <c r="AF111"/>
  <c r="AF112"/>
  <c r="AF113"/>
  <c r="AF114"/>
  <c r="AF115"/>
  <c r="AF116"/>
  <c r="AF117"/>
  <c r="AF118"/>
  <c r="AF119"/>
  <c r="AF120"/>
  <c r="AF121"/>
  <c r="AF125"/>
  <c r="AF126"/>
  <c r="AF127"/>
  <c r="AF128"/>
  <c r="AF129"/>
  <c r="AF130"/>
  <c r="AF131"/>
  <c r="AF132"/>
  <c r="AF137"/>
  <c r="AF138"/>
  <c r="AF139"/>
  <c r="AF140"/>
  <c r="AF144"/>
  <c r="AF145"/>
  <c r="AF147"/>
  <c r="AF148"/>
  <c r="AF149"/>
  <c r="AF155"/>
  <c r="AF159"/>
  <c r="AF160"/>
  <c r="AF161"/>
  <c r="AF162"/>
  <c r="AF163"/>
  <c r="AF164"/>
  <c r="AF165"/>
  <c r="AF166"/>
  <c r="AF169"/>
  <c r="AF170"/>
  <c r="AF176"/>
  <c r="AF177"/>
  <c r="AF178"/>
  <c r="AF179"/>
  <c r="AF180"/>
  <c r="AF181"/>
  <c r="AF182"/>
  <c r="AF183"/>
  <c r="AF184"/>
  <c r="AF185"/>
  <c r="BF185" i="2"/>
  <c r="BF183"/>
  <c r="BF182"/>
  <c r="BF181"/>
  <c r="BF180"/>
  <c r="BF179"/>
  <c r="BF178"/>
  <c r="BF177"/>
  <c r="BF176"/>
  <c r="BF170"/>
  <c r="BF169"/>
  <c r="BF166"/>
  <c r="BF165"/>
  <c r="BF164"/>
  <c r="BF163"/>
  <c r="BF162"/>
  <c r="BF161"/>
  <c r="BF160"/>
  <c r="BF159"/>
  <c r="BF155"/>
  <c r="BF149"/>
  <c r="BF148"/>
  <c r="BF147"/>
  <c r="BF145"/>
  <c r="BF144"/>
  <c r="BF140"/>
  <c r="BF139"/>
  <c r="BF138"/>
  <c r="BF137"/>
  <c r="BF132"/>
  <c r="BF131"/>
  <c r="BF130"/>
  <c r="BF129"/>
  <c r="BF128"/>
  <c r="BF127"/>
  <c r="BF126"/>
  <c r="BF125"/>
  <c r="BF121"/>
  <c r="BF120"/>
  <c r="BF119"/>
  <c r="BF118"/>
  <c r="BF117"/>
  <c r="BF116"/>
  <c r="BF115"/>
  <c r="BF114"/>
  <c r="BF113"/>
  <c r="BF112"/>
  <c r="BF111"/>
  <c r="BF110"/>
  <c r="BF109"/>
  <c r="BF108"/>
  <c r="Q77" i="9"/>
  <c r="Q72"/>
  <c r="D130" i="8"/>
  <c r="AG88" i="21"/>
  <c r="AF88"/>
  <c r="G158"/>
  <c r="F185"/>
  <c r="F184"/>
  <c r="F183"/>
  <c r="F182"/>
  <c r="F181"/>
  <c r="F180"/>
  <c r="F179"/>
  <c r="F178"/>
  <c r="F177"/>
  <c r="F176"/>
  <c r="F170"/>
  <c r="F169"/>
  <c r="F168"/>
  <c r="F167"/>
  <c r="F166"/>
  <c r="F165"/>
  <c r="F164"/>
  <c r="F163"/>
  <c r="F162"/>
  <c r="F161"/>
  <c r="F160"/>
  <c r="F159"/>
  <c r="F158"/>
  <c r="F154"/>
  <c r="F155"/>
  <c r="F149"/>
  <c r="F148"/>
  <c r="F147"/>
  <c r="F146"/>
  <c r="F145"/>
  <c r="F144"/>
  <c r="F140"/>
  <c r="F139"/>
  <c r="F138"/>
  <c r="F137"/>
  <c r="F132"/>
  <c r="F131"/>
  <c r="F130"/>
  <c r="F129"/>
  <c r="F128"/>
  <c r="F127"/>
  <c r="F126"/>
  <c r="F125"/>
  <c r="F121"/>
  <c r="F120"/>
  <c r="F119"/>
  <c r="F118"/>
  <c r="F117"/>
  <c r="F116"/>
  <c r="F115"/>
  <c r="F114"/>
  <c r="F113"/>
  <c r="F112"/>
  <c r="F111"/>
  <c r="F110"/>
  <c r="F109"/>
  <c r="F108"/>
  <c r="F100"/>
  <c r="F87"/>
  <c r="F86"/>
  <c r="F85"/>
  <c r="F79"/>
  <c r="F78"/>
  <c r="F77"/>
  <c r="F76"/>
  <c r="F75"/>
  <c r="F74"/>
  <c r="F72"/>
  <c r="F65"/>
  <c r="F64"/>
  <c r="F63"/>
  <c r="F62"/>
  <c r="F61"/>
  <c r="F60"/>
  <c r="F59"/>
  <c r="F58"/>
  <c r="F57"/>
  <c r="F56"/>
  <c r="F55"/>
  <c r="F54"/>
  <c r="F53"/>
  <c r="F48"/>
  <c r="F47"/>
  <c r="F46"/>
  <c r="F45"/>
  <c r="F44"/>
  <c r="F43"/>
  <c r="F42"/>
  <c r="F41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185"/>
  <c r="E184"/>
  <c r="E183"/>
  <c r="E182"/>
  <c r="E181"/>
  <c r="E180"/>
  <c r="E179"/>
  <c r="E178"/>
  <c r="E177"/>
  <c r="E176"/>
  <c r="E170"/>
  <c r="E169"/>
  <c r="E168"/>
  <c r="E167"/>
  <c r="E166"/>
  <c r="E165"/>
  <c r="E164"/>
  <c r="E163"/>
  <c r="E162"/>
  <c r="E161"/>
  <c r="E160"/>
  <c r="E159"/>
  <c r="E154"/>
  <c r="E155"/>
  <c r="E149"/>
  <c r="E148"/>
  <c r="E147"/>
  <c r="E146"/>
  <c r="E145"/>
  <c r="E144"/>
  <c r="E140"/>
  <c r="E139"/>
  <c r="E138"/>
  <c r="E137"/>
  <c r="E132"/>
  <c r="E131"/>
  <c r="E130"/>
  <c r="E129"/>
  <c r="E128"/>
  <c r="E127"/>
  <c r="E126"/>
  <c r="E125"/>
  <c r="E121"/>
  <c r="E120"/>
  <c r="E119"/>
  <c r="E118"/>
  <c r="E117"/>
  <c r="E116"/>
  <c r="E114"/>
  <c r="E113"/>
  <c r="E112"/>
  <c r="E111"/>
  <c r="E110"/>
  <c r="E109"/>
  <c r="E108"/>
  <c r="E100"/>
  <c r="E87"/>
  <c r="E86"/>
  <c r="E85"/>
  <c r="E79"/>
  <c r="E78"/>
  <c r="E77"/>
  <c r="E76"/>
  <c r="E75"/>
  <c r="E72"/>
  <c r="E65"/>
  <c r="E64"/>
  <c r="E63"/>
  <c r="E62"/>
  <c r="E61"/>
  <c r="E60"/>
  <c r="E59"/>
  <c r="E58"/>
  <c r="E57"/>
  <c r="E56"/>
  <c r="E55"/>
  <c r="E54"/>
  <c r="E53"/>
  <c r="E48"/>
  <c r="E47"/>
  <c r="E46"/>
  <c r="E45"/>
  <c r="E44"/>
  <c r="E43"/>
  <c r="E42"/>
  <c r="E41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AL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M186"/>
  <c r="L186"/>
  <c r="K186"/>
  <c r="J186"/>
  <c r="AL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H171"/>
  <c r="AL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M155"/>
  <c r="L155"/>
  <c r="K155"/>
  <c r="J155"/>
  <c r="H155"/>
  <c r="G155"/>
  <c r="AL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M150"/>
  <c r="L150"/>
  <c r="K150"/>
  <c r="J150"/>
  <c r="AL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M141"/>
  <c r="L141"/>
  <c r="K141"/>
  <c r="J141"/>
  <c r="H141"/>
  <c r="G141"/>
  <c r="AL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M133"/>
  <c r="L133"/>
  <c r="K133"/>
  <c r="J133"/>
  <c r="H133"/>
  <c r="G133"/>
  <c r="AL122"/>
  <c r="AJ122"/>
  <c r="AI122"/>
  <c r="AH122"/>
  <c r="AE122"/>
  <c r="AC122"/>
  <c r="AB122"/>
  <c r="AA122"/>
  <c r="Z122"/>
  <c r="Y122"/>
  <c r="X122"/>
  <c r="W122"/>
  <c r="V122"/>
  <c r="U122"/>
  <c r="T122"/>
  <c r="S122"/>
  <c r="R122"/>
  <c r="Q122"/>
  <c r="P122"/>
  <c r="O122"/>
  <c r="M122"/>
  <c r="L122"/>
  <c r="K122"/>
  <c r="J122"/>
  <c r="H122"/>
  <c r="G122"/>
  <c r="H88"/>
  <c r="G88"/>
  <c r="AL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M66"/>
  <c r="L66"/>
  <c r="K66"/>
  <c r="J66"/>
  <c r="H66"/>
  <c r="G66"/>
  <c r="AL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M49"/>
  <c r="L49"/>
  <c r="K49"/>
  <c r="J49"/>
  <c r="H49"/>
  <c r="G49"/>
  <c r="AL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M38"/>
  <c r="L38"/>
  <c r="K38"/>
  <c r="J38"/>
  <c r="H38"/>
  <c r="G38"/>
  <c r="AR170"/>
  <c r="AX99"/>
  <c r="AV99"/>
  <c r="AW7"/>
  <c r="AW99"/>
  <c r="AU7"/>
  <c r="AU93"/>
  <c r="AW185"/>
  <c r="AV185"/>
  <c r="AU185"/>
  <c r="AR185"/>
  <c r="AQ185"/>
  <c r="AP185"/>
  <c r="AO185"/>
  <c r="AN185"/>
  <c r="AW184"/>
  <c r="AV184"/>
  <c r="AU184"/>
  <c r="AR184"/>
  <c r="AQ184"/>
  <c r="AP184"/>
  <c r="AO184"/>
  <c r="AN184"/>
  <c r="AX183"/>
  <c r="AW183"/>
  <c r="AV183"/>
  <c r="AU183"/>
  <c r="AR183"/>
  <c r="AQ183"/>
  <c r="AP183"/>
  <c r="AO183"/>
  <c r="AN183"/>
  <c r="AX182"/>
  <c r="AW182"/>
  <c r="AV182"/>
  <c r="AU182"/>
  <c r="AR182"/>
  <c r="AQ182"/>
  <c r="AP182"/>
  <c r="AO182"/>
  <c r="AN182"/>
  <c r="AX181"/>
  <c r="AW181"/>
  <c r="AV181"/>
  <c r="AU181"/>
  <c r="AR181"/>
  <c r="AQ181"/>
  <c r="AP181"/>
  <c r="AO181"/>
  <c r="AN181"/>
  <c r="AX180"/>
  <c r="AW180"/>
  <c r="AV180"/>
  <c r="AU180"/>
  <c r="AR180"/>
  <c r="AQ180"/>
  <c r="AP180"/>
  <c r="AO180"/>
  <c r="AN180"/>
  <c r="AX179"/>
  <c r="AW179"/>
  <c r="AV179"/>
  <c r="AU179"/>
  <c r="AR179"/>
  <c r="AQ179"/>
  <c r="AP179"/>
  <c r="AO179"/>
  <c r="AN179"/>
  <c r="AX178"/>
  <c r="AW178"/>
  <c r="AV178"/>
  <c r="AU178"/>
  <c r="AR178"/>
  <c r="AQ178"/>
  <c r="AP178"/>
  <c r="AO178"/>
  <c r="AN178"/>
  <c r="AX177"/>
  <c r="AW177"/>
  <c r="AV177"/>
  <c r="AU177"/>
  <c r="AR177"/>
  <c r="AQ177"/>
  <c r="AP177"/>
  <c r="AO177"/>
  <c r="AN177"/>
  <c r="AX176"/>
  <c r="AW176"/>
  <c r="AV176"/>
  <c r="AU176"/>
  <c r="AR176"/>
  <c r="AQ176"/>
  <c r="AP176"/>
  <c r="AO176"/>
  <c r="AN176"/>
  <c r="AX170"/>
  <c r="AW170"/>
  <c r="AV170"/>
  <c r="AU170"/>
  <c r="AQ170"/>
  <c r="AP170"/>
  <c r="AO170"/>
  <c r="AN170"/>
  <c r="AX169"/>
  <c r="AW169"/>
  <c r="AU169"/>
  <c r="AR169"/>
  <c r="AQ169"/>
  <c r="AP169"/>
  <c r="AO169"/>
  <c r="AN169"/>
  <c r="AX168"/>
  <c r="AW168"/>
  <c r="AV168"/>
  <c r="AU168"/>
  <c r="AR168"/>
  <c r="AQ168"/>
  <c r="AP168"/>
  <c r="AO168"/>
  <c r="AX167"/>
  <c r="AW167"/>
  <c r="AV167"/>
  <c r="AU167"/>
  <c r="AR167"/>
  <c r="AQ167"/>
  <c r="AP167"/>
  <c r="AO167"/>
  <c r="AN167"/>
  <c r="AX166"/>
  <c r="AW166"/>
  <c r="AV166"/>
  <c r="AU166"/>
  <c r="AR166"/>
  <c r="AQ166"/>
  <c r="AP166"/>
  <c r="AO166"/>
  <c r="AN166"/>
  <c r="AX165"/>
  <c r="AW165"/>
  <c r="AV165"/>
  <c r="AU165"/>
  <c r="AR165"/>
  <c r="AQ165"/>
  <c r="AP165"/>
  <c r="AO165"/>
  <c r="AN165"/>
  <c r="AX164"/>
  <c r="AV164"/>
  <c r="AU164"/>
  <c r="AR164"/>
  <c r="AQ164"/>
  <c r="AP164"/>
  <c r="AO164"/>
  <c r="AN164"/>
  <c r="AX163"/>
  <c r="AW163"/>
  <c r="AV163"/>
  <c r="AU163"/>
  <c r="AR163"/>
  <c r="AQ163"/>
  <c r="AP163"/>
  <c r="AO163"/>
  <c r="AN163"/>
  <c r="AW162"/>
  <c r="AU162"/>
  <c r="AR162"/>
  <c r="AQ162"/>
  <c r="AP162"/>
  <c r="AO162"/>
  <c r="AN162"/>
  <c r="AX161"/>
  <c r="AW161"/>
  <c r="AV161"/>
  <c r="AU161"/>
  <c r="AR161"/>
  <c r="AQ161"/>
  <c r="AP161"/>
  <c r="AO161"/>
  <c r="AN161"/>
  <c r="AX160"/>
  <c r="AW160"/>
  <c r="AV160"/>
  <c r="AU160"/>
  <c r="AR160"/>
  <c r="AQ160"/>
  <c r="AP160"/>
  <c r="AO160"/>
  <c r="AN160"/>
  <c r="AX159"/>
  <c r="AW159"/>
  <c r="AV159"/>
  <c r="AU159"/>
  <c r="AR159"/>
  <c r="AQ159"/>
  <c r="AP159"/>
  <c r="AO159"/>
  <c r="AN159"/>
  <c r="AX158"/>
  <c r="AU158"/>
  <c r="AR158"/>
  <c r="AQ158"/>
  <c r="AP158"/>
  <c r="AO158"/>
  <c r="AX154"/>
  <c r="AW154"/>
  <c r="AW155"/>
  <c r="AV155"/>
  <c r="AU154"/>
  <c r="AU155"/>
  <c r="AT155"/>
  <c r="AR154"/>
  <c r="AR155"/>
  <c r="AQ154"/>
  <c r="AQ155"/>
  <c r="AP154"/>
  <c r="AP155"/>
  <c r="AO154"/>
  <c r="AO155"/>
  <c r="AN154"/>
  <c r="AN155"/>
  <c r="AX149"/>
  <c r="AW149"/>
  <c r="AV149"/>
  <c r="AU149"/>
  <c r="AR149"/>
  <c r="AQ149"/>
  <c r="AP149"/>
  <c r="AO149"/>
  <c r="AN149"/>
  <c r="AX148"/>
  <c r="AW148"/>
  <c r="AV148"/>
  <c r="AU148"/>
  <c r="AR148"/>
  <c r="AQ148"/>
  <c r="AP148"/>
  <c r="AO148"/>
  <c r="AN148"/>
  <c r="AX147"/>
  <c r="AW147"/>
  <c r="AV147"/>
  <c r="AU147"/>
  <c r="AR147"/>
  <c r="AQ147"/>
  <c r="AP147"/>
  <c r="AO147"/>
  <c r="AN147"/>
  <c r="AX145"/>
  <c r="AW145"/>
  <c r="AV145"/>
  <c r="AU145"/>
  <c r="AR145"/>
  <c r="AQ145"/>
  <c r="AP145"/>
  <c r="AO145"/>
  <c r="AN145"/>
  <c r="AX144"/>
  <c r="AW144"/>
  <c r="AV144"/>
  <c r="AU144"/>
  <c r="AR144"/>
  <c r="AQ144"/>
  <c r="AP144"/>
  <c r="AO144"/>
  <c r="AN144"/>
  <c r="AX140"/>
  <c r="AW140"/>
  <c r="AV140"/>
  <c r="AU140"/>
  <c r="AR140"/>
  <c r="AQ140"/>
  <c r="AP140"/>
  <c r="AO140"/>
  <c r="AN140"/>
  <c r="AX139"/>
  <c r="AW139"/>
  <c r="AV139"/>
  <c r="AU139"/>
  <c r="AR139"/>
  <c r="AQ139"/>
  <c r="AP139"/>
  <c r="AO139"/>
  <c r="AN139"/>
  <c r="AX138"/>
  <c r="AW138"/>
  <c r="AV138"/>
  <c r="AU138"/>
  <c r="AR138"/>
  <c r="AQ138"/>
  <c r="AP138"/>
  <c r="AO138"/>
  <c r="AN138"/>
  <c r="AX137"/>
  <c r="AW137"/>
  <c r="AV137"/>
  <c r="AU137"/>
  <c r="AR137"/>
  <c r="AQ137"/>
  <c r="AP137"/>
  <c r="AO137"/>
  <c r="AN137"/>
  <c r="AX132"/>
  <c r="AW132"/>
  <c r="AV132"/>
  <c r="AU132"/>
  <c r="AR132"/>
  <c r="AQ132"/>
  <c r="AP132"/>
  <c r="AO132"/>
  <c r="AN132"/>
  <c r="AX131"/>
  <c r="AW131"/>
  <c r="AV131"/>
  <c r="AU131"/>
  <c r="AR131"/>
  <c r="AQ131"/>
  <c r="AP131"/>
  <c r="AO131"/>
  <c r="AN131"/>
  <c r="AX130"/>
  <c r="AW130"/>
  <c r="AV130"/>
  <c r="AU130"/>
  <c r="AR130"/>
  <c r="AQ130"/>
  <c r="AP130"/>
  <c r="AO130"/>
  <c r="AN130"/>
  <c r="AX129"/>
  <c r="AW129"/>
  <c r="AV129"/>
  <c r="AU129"/>
  <c r="AR129"/>
  <c r="AQ129"/>
  <c r="AP129"/>
  <c r="AO129"/>
  <c r="AN129"/>
  <c r="AX128"/>
  <c r="AW128"/>
  <c r="AV128"/>
  <c r="AU128"/>
  <c r="AR128"/>
  <c r="AQ128"/>
  <c r="AP128"/>
  <c r="AO128"/>
  <c r="AN128"/>
  <c r="AX127"/>
  <c r="AW127"/>
  <c r="AV127"/>
  <c r="AU127"/>
  <c r="AR127"/>
  <c r="AQ127"/>
  <c r="AP127"/>
  <c r="AO127"/>
  <c r="AN127"/>
  <c r="AX126"/>
  <c r="AW126"/>
  <c r="AV126"/>
  <c r="AU126"/>
  <c r="AR126"/>
  <c r="AQ126"/>
  <c r="AP126"/>
  <c r="AO126"/>
  <c r="AN126"/>
  <c r="AX125"/>
  <c r="AW125"/>
  <c r="AV125"/>
  <c r="AU125"/>
  <c r="AR125"/>
  <c r="AQ125"/>
  <c r="AP125"/>
  <c r="AO125"/>
  <c r="AN125"/>
  <c r="AX121"/>
  <c r="AW121"/>
  <c r="AV121"/>
  <c r="AU121"/>
  <c r="AR121"/>
  <c r="AQ121"/>
  <c r="AP121"/>
  <c r="AO121"/>
  <c r="AN121"/>
  <c r="AX120"/>
  <c r="AW120"/>
  <c r="AV120"/>
  <c r="AU120"/>
  <c r="AR120"/>
  <c r="AQ120"/>
  <c r="AP120"/>
  <c r="AO120"/>
  <c r="AN120"/>
  <c r="AX119"/>
  <c r="AW119"/>
  <c r="AV119"/>
  <c r="AU119"/>
  <c r="AR119"/>
  <c r="AQ119"/>
  <c r="AP119"/>
  <c r="AO119"/>
  <c r="AN119"/>
  <c r="AX118"/>
  <c r="AW118"/>
  <c r="AV118"/>
  <c r="AU118"/>
  <c r="AR118"/>
  <c r="AQ118"/>
  <c r="AP118"/>
  <c r="AO118"/>
  <c r="AN118"/>
  <c r="AX117"/>
  <c r="AW117"/>
  <c r="AV117"/>
  <c r="AU117"/>
  <c r="AR117"/>
  <c r="AQ117"/>
  <c r="AP117"/>
  <c r="AO117"/>
  <c r="AN117"/>
  <c r="AX116"/>
  <c r="AW116"/>
  <c r="AV116"/>
  <c r="AU116"/>
  <c r="AR116"/>
  <c r="AQ116"/>
  <c r="AP116"/>
  <c r="AO116"/>
  <c r="AN116"/>
  <c r="AX115"/>
  <c r="AW115"/>
  <c r="AV115"/>
  <c r="AU115"/>
  <c r="AR115"/>
  <c r="AQ115"/>
  <c r="AP115"/>
  <c r="AO115"/>
  <c r="AN115"/>
  <c r="AW114"/>
  <c r="AV114"/>
  <c r="AU114"/>
  <c r="AR114"/>
  <c r="AQ114"/>
  <c r="AP114"/>
  <c r="AO114"/>
  <c r="AN114"/>
  <c r="AX113"/>
  <c r="AW113"/>
  <c r="AV113"/>
  <c r="AU113"/>
  <c r="AR113"/>
  <c r="AQ113"/>
  <c r="AP113"/>
  <c r="AO113"/>
  <c r="AN113"/>
  <c r="AX112"/>
  <c r="AW112"/>
  <c r="AV112"/>
  <c r="AU112"/>
  <c r="AR112"/>
  <c r="AQ112"/>
  <c r="AP112"/>
  <c r="AO112"/>
  <c r="AN112"/>
  <c r="AX111"/>
  <c r="AW111"/>
  <c r="AV111"/>
  <c r="AU111"/>
  <c r="AR111"/>
  <c r="AQ111"/>
  <c r="AP111"/>
  <c r="AO111"/>
  <c r="AN111"/>
  <c r="AX110"/>
  <c r="AW110"/>
  <c r="AU110"/>
  <c r="AR110"/>
  <c r="AQ110"/>
  <c r="AP110"/>
  <c r="AO110"/>
  <c r="AN110"/>
  <c r="AX109"/>
  <c r="AW109"/>
  <c r="AV109"/>
  <c r="AU109"/>
  <c r="AR109"/>
  <c r="AQ109"/>
  <c r="AO109"/>
  <c r="AW108"/>
  <c r="AV108"/>
  <c r="AU108"/>
  <c r="AR108"/>
  <c r="AQ108"/>
  <c r="AP108"/>
  <c r="AO108"/>
  <c r="AN108"/>
  <c r="AN93"/>
  <c r="AO93"/>
  <c r="AP93"/>
  <c r="AQ93"/>
  <c r="AR93"/>
  <c r="AV93"/>
  <c r="AW93"/>
  <c r="AX93"/>
  <c r="AN94"/>
  <c r="AO94"/>
  <c r="AP94"/>
  <c r="AQ94"/>
  <c r="AR94"/>
  <c r="AU94"/>
  <c r="AW94"/>
  <c r="AX94"/>
  <c r="AN99"/>
  <c r="AO99"/>
  <c r="AP99"/>
  <c r="AQ99"/>
  <c r="AR99"/>
  <c r="AX87"/>
  <c r="AW87"/>
  <c r="AV87"/>
  <c r="AU87"/>
  <c r="AR87"/>
  <c r="AQ87"/>
  <c r="AP87"/>
  <c r="AO87"/>
  <c r="AN87"/>
  <c r="AX86"/>
  <c r="AW86"/>
  <c r="AU86"/>
  <c r="AR86"/>
  <c r="AQ86"/>
  <c r="AP86"/>
  <c r="AO86"/>
  <c r="AN86"/>
  <c r="AX85"/>
  <c r="AW85"/>
  <c r="AV85"/>
  <c r="AU85"/>
  <c r="AR85"/>
  <c r="AQ85"/>
  <c r="AP85"/>
  <c r="AO85"/>
  <c r="AN85"/>
  <c r="AX84"/>
  <c r="AW84"/>
  <c r="AV84"/>
  <c r="AU84"/>
  <c r="AR84"/>
  <c r="AQ84"/>
  <c r="AP84"/>
  <c r="AO84"/>
  <c r="AN84"/>
  <c r="AX79"/>
  <c r="AW79"/>
  <c r="AV79"/>
  <c r="AR79"/>
  <c r="AQ79"/>
  <c r="AP79"/>
  <c r="AO79"/>
  <c r="AN79"/>
  <c r="AX78"/>
  <c r="AV78"/>
  <c r="AR78"/>
  <c r="AQ78"/>
  <c r="AP78"/>
  <c r="AO78"/>
  <c r="AN78"/>
  <c r="AX77"/>
  <c r="AW77"/>
  <c r="AU77"/>
  <c r="AR77"/>
  <c r="AQ77"/>
  <c r="AP77"/>
  <c r="AO77"/>
  <c r="AN77"/>
  <c r="AW76"/>
  <c r="AV76"/>
  <c r="AU76"/>
  <c r="AR76"/>
  <c r="AP76"/>
  <c r="AO76"/>
  <c r="AN76"/>
  <c r="AX75"/>
  <c r="AW75"/>
  <c r="AV75"/>
  <c r="AU75"/>
  <c r="AR75"/>
  <c r="AQ75"/>
  <c r="AN75"/>
  <c r="AX74"/>
  <c r="AW74"/>
  <c r="AV74"/>
  <c r="AU74"/>
  <c r="AR74"/>
  <c r="AQ74"/>
  <c r="AP74"/>
  <c r="AO74"/>
  <c r="AN74"/>
  <c r="AX73"/>
  <c r="AW73"/>
  <c r="AV73"/>
  <c r="AU73"/>
  <c r="AQ73"/>
  <c r="AP73"/>
  <c r="AO73"/>
  <c r="AX72"/>
  <c r="AW72"/>
  <c r="AV72"/>
  <c r="AU72"/>
  <c r="AR72"/>
  <c r="AQ72"/>
  <c r="AP72"/>
  <c r="AO72"/>
  <c r="AX65"/>
  <c r="AW65"/>
  <c r="AV65"/>
  <c r="AU65"/>
  <c r="AR65"/>
  <c r="AQ65"/>
  <c r="AP65"/>
  <c r="AO65"/>
  <c r="AN65"/>
  <c r="AX64"/>
  <c r="AW64"/>
  <c r="AV64"/>
  <c r="AU64"/>
  <c r="AR64"/>
  <c r="AQ64"/>
  <c r="AP64"/>
  <c r="AO64"/>
  <c r="AN64"/>
  <c r="AX63"/>
  <c r="AW63"/>
  <c r="AV63"/>
  <c r="AU63"/>
  <c r="AR63"/>
  <c r="AQ63"/>
  <c r="AP63"/>
  <c r="AO63"/>
  <c r="AN63"/>
  <c r="AX62"/>
  <c r="AW62"/>
  <c r="AV62"/>
  <c r="AU62"/>
  <c r="AR62"/>
  <c r="AQ62"/>
  <c r="AP62"/>
  <c r="AO62"/>
  <c r="AN62"/>
  <c r="AX61"/>
  <c r="AW61"/>
  <c r="AV61"/>
  <c r="AU61"/>
  <c r="AR61"/>
  <c r="AQ61"/>
  <c r="AP61"/>
  <c r="AN61"/>
  <c r="AX60"/>
  <c r="AW60"/>
  <c r="AV60"/>
  <c r="AU60"/>
  <c r="AR60"/>
  <c r="AQ60"/>
  <c r="AP60"/>
  <c r="AO60"/>
  <c r="AN60"/>
  <c r="AX59"/>
  <c r="AW59"/>
  <c r="AV59"/>
  <c r="AU59"/>
  <c r="AR59"/>
  <c r="AQ59"/>
  <c r="AP59"/>
  <c r="AO59"/>
  <c r="AN59"/>
  <c r="AW58"/>
  <c r="AV58"/>
  <c r="AU58"/>
  <c r="AR58"/>
  <c r="AQ58"/>
  <c r="AP58"/>
  <c r="AO58"/>
  <c r="AN58"/>
  <c r="AX57"/>
  <c r="AV57"/>
  <c r="AU57"/>
  <c r="AR57"/>
  <c r="AQ57"/>
  <c r="AP57"/>
  <c r="AO57"/>
  <c r="AN57"/>
  <c r="AX56"/>
  <c r="AW56"/>
  <c r="AV56"/>
  <c r="AU56"/>
  <c r="AR56"/>
  <c r="AQ56"/>
  <c r="AP56"/>
  <c r="AO56"/>
  <c r="AN56"/>
  <c r="AX55"/>
  <c r="AW55"/>
  <c r="AV55"/>
  <c r="AU55"/>
  <c r="AR55"/>
  <c r="AQ55"/>
  <c r="AP55"/>
  <c r="AO55"/>
  <c r="AN55"/>
  <c r="AX54"/>
  <c r="AW54"/>
  <c r="AV54"/>
  <c r="AU54"/>
  <c r="AR54"/>
  <c r="AQ54"/>
  <c r="AP54"/>
  <c r="AO54"/>
  <c r="AN54"/>
  <c r="AX53"/>
  <c r="AW53"/>
  <c r="AV53"/>
  <c r="AU53"/>
  <c r="AR53"/>
  <c r="AQ53"/>
  <c r="AP53"/>
  <c r="AO53"/>
  <c r="AN53"/>
  <c r="AX155"/>
  <c r="C155"/>
  <c r="C141"/>
  <c r="C122"/>
  <c r="C102"/>
  <c r="C88"/>
  <c r="C80"/>
  <c r="AL99"/>
  <c r="AJ99"/>
  <c r="AI99"/>
  <c r="AH99"/>
  <c r="AL94"/>
  <c r="AJ94"/>
  <c r="AI94"/>
  <c r="AH94"/>
  <c r="AL93"/>
  <c r="AJ93"/>
  <c r="AI93"/>
  <c r="AH93"/>
  <c r="AL88"/>
  <c r="AJ88"/>
  <c r="AI88"/>
  <c r="G171" i="17"/>
  <c r="G155"/>
  <c r="F155"/>
  <c r="C155"/>
  <c r="C150"/>
  <c r="G141"/>
  <c r="F141"/>
  <c r="C141"/>
  <c r="G133"/>
  <c r="F133"/>
  <c r="G122"/>
  <c r="F122"/>
  <c r="C122"/>
  <c r="C102"/>
  <c r="G88"/>
  <c r="F88"/>
  <c r="C88"/>
  <c r="C80"/>
  <c r="G66"/>
  <c r="C66"/>
  <c r="G49"/>
  <c r="F49"/>
  <c r="G38"/>
  <c r="F38"/>
  <c r="AK93"/>
  <c r="AK185"/>
  <c r="AI185"/>
  <c r="AK184"/>
  <c r="AI184"/>
  <c r="AL183"/>
  <c r="AK183"/>
  <c r="AI183"/>
  <c r="AL182"/>
  <c r="AK182"/>
  <c r="AI182"/>
  <c r="AL181"/>
  <c r="AK181"/>
  <c r="AI181"/>
  <c r="AL180"/>
  <c r="AK180"/>
  <c r="AI180"/>
  <c r="AL179"/>
  <c r="AK179"/>
  <c r="AI179"/>
  <c r="AL178"/>
  <c r="AK178"/>
  <c r="AI178"/>
  <c r="AL177"/>
  <c r="AK177"/>
  <c r="AI177"/>
  <c r="AL176"/>
  <c r="AK176"/>
  <c r="AI176"/>
  <c r="AL170"/>
  <c r="AK170"/>
  <c r="AI170"/>
  <c r="AL169"/>
  <c r="AK169"/>
  <c r="AI169"/>
  <c r="AL168"/>
  <c r="AK168"/>
  <c r="AI168"/>
  <c r="AL167"/>
  <c r="AK167"/>
  <c r="AI167"/>
  <c r="AL166"/>
  <c r="AK166"/>
  <c r="AI166"/>
  <c r="AL165"/>
  <c r="AK165"/>
  <c r="AI165"/>
  <c r="AL164"/>
  <c r="AI164"/>
  <c r="AL163"/>
  <c r="AK163"/>
  <c r="AI163"/>
  <c r="AL162"/>
  <c r="AK162"/>
  <c r="AI162"/>
  <c r="AL161"/>
  <c r="AK161"/>
  <c r="AI161"/>
  <c r="AL160"/>
  <c r="AK160"/>
  <c r="AI160"/>
  <c r="AL159"/>
  <c r="AK159"/>
  <c r="AI159"/>
  <c r="AL158"/>
  <c r="AJ171"/>
  <c r="AI158"/>
  <c r="AL154"/>
  <c r="AL155"/>
  <c r="AI154"/>
  <c r="AI155"/>
  <c r="AL149"/>
  <c r="AK149"/>
  <c r="AI149"/>
  <c r="AL148"/>
  <c r="AK148"/>
  <c r="AI148"/>
  <c r="AL147"/>
  <c r="AK147"/>
  <c r="AI147"/>
  <c r="AL145"/>
  <c r="AK145"/>
  <c r="AI145"/>
  <c r="AL144"/>
  <c r="AK144"/>
  <c r="AI144"/>
  <c r="AL140"/>
  <c r="AK140"/>
  <c r="AI140"/>
  <c r="AL139"/>
  <c r="AK139"/>
  <c r="AI139"/>
  <c r="AL138"/>
  <c r="AK138"/>
  <c r="AI138"/>
  <c r="AL137"/>
  <c r="AK137"/>
  <c r="AI137"/>
  <c r="AL132"/>
  <c r="AK132"/>
  <c r="AI132"/>
  <c r="AL131"/>
  <c r="AK131"/>
  <c r="AI131"/>
  <c r="AL130"/>
  <c r="AK130"/>
  <c r="AI130"/>
  <c r="AL129"/>
  <c r="AK129"/>
  <c r="AI129"/>
  <c r="AL128"/>
  <c r="AK128"/>
  <c r="AI128"/>
  <c r="AL127"/>
  <c r="AK127"/>
  <c r="AI127"/>
  <c r="AL126"/>
  <c r="AK126"/>
  <c r="AI126"/>
  <c r="AL125"/>
  <c r="AK125"/>
  <c r="AI125"/>
  <c r="AL121"/>
  <c r="AK121"/>
  <c r="AI121"/>
  <c r="AL120"/>
  <c r="AK120"/>
  <c r="AI120"/>
  <c r="AL119"/>
  <c r="AK119"/>
  <c r="AI119"/>
  <c r="AL118"/>
  <c r="AK118"/>
  <c r="AI118"/>
  <c r="AL117"/>
  <c r="AK117"/>
  <c r="AI117"/>
  <c r="AL116"/>
  <c r="AK116"/>
  <c r="AI116"/>
  <c r="AL115"/>
  <c r="AK115"/>
  <c r="AI115"/>
  <c r="AL114"/>
  <c r="AK114"/>
  <c r="AI114"/>
  <c r="AL113"/>
  <c r="AK113"/>
  <c r="AI113"/>
  <c r="AL112"/>
  <c r="AK112"/>
  <c r="AI112"/>
  <c r="AL111"/>
  <c r="AK111"/>
  <c r="AI111"/>
  <c r="AL110"/>
  <c r="AK110"/>
  <c r="AI110"/>
  <c r="AL109"/>
  <c r="AK109"/>
  <c r="AI109"/>
  <c r="AL108"/>
  <c r="AK108"/>
  <c r="AI108"/>
  <c r="AL100"/>
  <c r="AK100"/>
  <c r="AI100"/>
  <c r="AL87"/>
  <c r="AK87"/>
  <c r="AI87"/>
  <c r="AL86"/>
  <c r="AK86"/>
  <c r="AI86"/>
  <c r="AL85"/>
  <c r="AK85"/>
  <c r="AI85"/>
  <c r="AL84"/>
  <c r="AK84"/>
  <c r="AI84"/>
  <c r="AL79"/>
  <c r="AK79"/>
  <c r="AL78"/>
  <c r="AL77"/>
  <c r="AK77"/>
  <c r="AI77"/>
  <c r="AK76"/>
  <c r="AI76"/>
  <c r="AL75"/>
  <c r="AK75"/>
  <c r="AI75"/>
  <c r="AL74"/>
  <c r="AK74"/>
  <c r="AI74"/>
  <c r="AL73"/>
  <c r="AK73"/>
  <c r="AI73"/>
  <c r="AL72"/>
  <c r="AK72"/>
  <c r="AI72"/>
  <c r="AL65"/>
  <c r="AK65"/>
  <c r="AI65"/>
  <c r="AL64"/>
  <c r="AK64"/>
  <c r="AI64"/>
  <c r="AL63"/>
  <c r="AK63"/>
  <c r="AI63"/>
  <c r="AL62"/>
  <c r="AK62"/>
  <c r="AI62"/>
  <c r="AL61"/>
  <c r="AK61"/>
  <c r="AI61"/>
  <c r="AL60"/>
  <c r="AK60"/>
  <c r="AI60"/>
  <c r="AL59"/>
  <c r="AK59"/>
  <c r="AI59"/>
  <c r="AK58"/>
  <c r="AI58"/>
  <c r="AL57"/>
  <c r="AI57"/>
  <c r="AL56"/>
  <c r="AK56"/>
  <c r="AI56"/>
  <c r="AL55"/>
  <c r="AK55"/>
  <c r="AI55"/>
  <c r="AL54"/>
  <c r="AK54"/>
  <c r="AI54"/>
  <c r="AL53"/>
  <c r="AK53"/>
  <c r="AI53"/>
  <c r="AH155"/>
  <c r="AH97"/>
  <c r="AG155"/>
  <c r="AE170"/>
  <c r="AE185"/>
  <c r="AD185"/>
  <c r="AC185"/>
  <c r="AB185"/>
  <c r="AA185"/>
  <c r="AE184"/>
  <c r="AD184"/>
  <c r="AC184"/>
  <c r="AB184"/>
  <c r="AA184"/>
  <c r="AE183"/>
  <c r="AD183"/>
  <c r="AC183"/>
  <c r="AB183"/>
  <c r="AA183"/>
  <c r="AE182"/>
  <c r="AD182"/>
  <c r="AC182"/>
  <c r="AB182"/>
  <c r="AA182"/>
  <c r="AE181"/>
  <c r="AD181"/>
  <c r="AC181"/>
  <c r="AB181"/>
  <c r="AA181"/>
  <c r="AE180"/>
  <c r="AD180"/>
  <c r="AC180"/>
  <c r="AB180"/>
  <c r="AA180"/>
  <c r="AE179"/>
  <c r="AD179"/>
  <c r="AC179"/>
  <c r="AB179"/>
  <c r="AA179"/>
  <c r="AE178"/>
  <c r="AD178"/>
  <c r="AC178"/>
  <c r="AB178"/>
  <c r="AA178"/>
  <c r="AE177"/>
  <c r="AD177"/>
  <c r="AC177"/>
  <c r="AB177"/>
  <c r="AA177"/>
  <c r="AE176"/>
  <c r="AD176"/>
  <c r="AC176"/>
  <c r="AB176"/>
  <c r="AA176"/>
  <c r="AD170"/>
  <c r="AC170"/>
  <c r="AB170"/>
  <c r="AA170"/>
  <c r="AE169"/>
  <c r="AD169"/>
  <c r="AC169"/>
  <c r="AB169"/>
  <c r="AA169"/>
  <c r="AE168"/>
  <c r="AD168"/>
  <c r="AC168"/>
  <c r="AB168"/>
  <c r="AA168"/>
  <c r="AE167"/>
  <c r="AD167"/>
  <c r="AC167"/>
  <c r="AB167"/>
  <c r="AA167"/>
  <c r="AE166"/>
  <c r="AD166"/>
  <c r="AC166"/>
  <c r="AB166"/>
  <c r="AA166"/>
  <c r="AE165"/>
  <c r="AD165"/>
  <c r="AC165"/>
  <c r="AB165"/>
  <c r="AA165"/>
  <c r="AE164"/>
  <c r="AD164"/>
  <c r="AC164"/>
  <c r="AB164"/>
  <c r="AA164"/>
  <c r="AE163"/>
  <c r="AD163"/>
  <c r="AC163"/>
  <c r="AB163"/>
  <c r="AA163"/>
  <c r="AE162"/>
  <c r="AD162"/>
  <c r="AC162"/>
  <c r="AB162"/>
  <c r="AA162"/>
  <c r="AE161"/>
  <c r="AD161"/>
  <c r="AC161"/>
  <c r="AB161"/>
  <c r="AA161"/>
  <c r="AE160"/>
  <c r="AD160"/>
  <c r="AC160"/>
  <c r="AB160"/>
  <c r="AA160"/>
  <c r="AE159"/>
  <c r="AD159"/>
  <c r="AC159"/>
  <c r="AB159"/>
  <c r="AA159"/>
  <c r="AE158"/>
  <c r="AD158"/>
  <c r="AC158"/>
  <c r="AB158"/>
  <c r="AA158"/>
  <c r="AE154"/>
  <c r="AE155"/>
  <c r="AD154"/>
  <c r="AD155"/>
  <c r="AC154"/>
  <c r="AC155"/>
  <c r="AB154"/>
  <c r="AB155"/>
  <c r="AA154"/>
  <c r="AA155"/>
  <c r="AE149"/>
  <c r="AD149"/>
  <c r="AC149"/>
  <c r="AB149"/>
  <c r="AA149"/>
  <c r="AE148"/>
  <c r="AD148"/>
  <c r="AC148"/>
  <c r="AB148"/>
  <c r="AA148"/>
  <c r="AE147"/>
  <c r="AD147"/>
  <c r="AC147"/>
  <c r="AB147"/>
  <c r="AA147"/>
  <c r="AE145"/>
  <c r="AD145"/>
  <c r="AC145"/>
  <c r="AB145"/>
  <c r="AA145"/>
  <c r="AE144"/>
  <c r="AD144"/>
  <c r="AC144"/>
  <c r="AB144"/>
  <c r="AA144"/>
  <c r="AE140"/>
  <c r="AD140"/>
  <c r="AC140"/>
  <c r="AB140"/>
  <c r="AA140"/>
  <c r="AE139"/>
  <c r="AD139"/>
  <c r="AC139"/>
  <c r="AB139"/>
  <c r="AA139"/>
  <c r="AE138"/>
  <c r="AD138"/>
  <c r="AC138"/>
  <c r="AB138"/>
  <c r="AA138"/>
  <c r="AE137"/>
  <c r="AD137"/>
  <c r="AC137"/>
  <c r="AB137"/>
  <c r="AA137"/>
  <c r="AE132"/>
  <c r="AD132"/>
  <c r="AC132"/>
  <c r="AB132"/>
  <c r="AA132"/>
  <c r="AE131"/>
  <c r="AD131"/>
  <c r="AC131"/>
  <c r="AB131"/>
  <c r="AA131"/>
  <c r="AE130"/>
  <c r="AD130"/>
  <c r="AC130"/>
  <c r="AB130"/>
  <c r="AA130"/>
  <c r="AE129"/>
  <c r="AD129"/>
  <c r="AC129"/>
  <c r="AB129"/>
  <c r="AA129"/>
  <c r="AE128"/>
  <c r="AD128"/>
  <c r="AC128"/>
  <c r="AB128"/>
  <c r="AA128"/>
  <c r="AE127"/>
  <c r="AD127"/>
  <c r="AC127"/>
  <c r="AB127"/>
  <c r="AA127"/>
  <c r="AE126"/>
  <c r="AD126"/>
  <c r="AC126"/>
  <c r="AB126"/>
  <c r="AA126"/>
  <c r="AE125"/>
  <c r="AD125"/>
  <c r="AC125"/>
  <c r="AB125"/>
  <c r="AA125"/>
  <c r="AE121"/>
  <c r="AD121"/>
  <c r="AC121"/>
  <c r="AB121"/>
  <c r="AA121"/>
  <c r="AE120"/>
  <c r="AD120"/>
  <c r="AC120"/>
  <c r="AB120"/>
  <c r="AA120"/>
  <c r="AE119"/>
  <c r="AD119"/>
  <c r="AC119"/>
  <c r="AB119"/>
  <c r="AA119"/>
  <c r="AE118"/>
  <c r="AD118"/>
  <c r="AC118"/>
  <c r="AB118"/>
  <c r="AA118"/>
  <c r="AE117"/>
  <c r="AD117"/>
  <c r="AC117"/>
  <c r="AB117"/>
  <c r="AA117"/>
  <c r="AE116"/>
  <c r="AD116"/>
  <c r="AC116"/>
  <c r="AB116"/>
  <c r="AA116"/>
  <c r="AE115"/>
  <c r="AD115"/>
  <c r="AC115"/>
  <c r="AB115"/>
  <c r="AA115"/>
  <c r="AE114"/>
  <c r="AD114"/>
  <c r="AC114"/>
  <c r="AB114"/>
  <c r="AA114"/>
  <c r="AE113"/>
  <c r="AD113"/>
  <c r="AC113"/>
  <c r="AB113"/>
  <c r="AA113"/>
  <c r="AE112"/>
  <c r="AD112"/>
  <c r="AC112"/>
  <c r="AB112"/>
  <c r="AA112"/>
  <c r="AE111"/>
  <c r="AD111"/>
  <c r="AC111"/>
  <c r="AB111"/>
  <c r="AA111"/>
  <c r="AE110"/>
  <c r="AD110"/>
  <c r="AC110"/>
  <c r="AB110"/>
  <c r="AA110"/>
  <c r="AE109"/>
  <c r="AD109"/>
  <c r="AB109"/>
  <c r="AE108"/>
  <c r="AD108"/>
  <c r="AC108"/>
  <c r="AB108"/>
  <c r="AA108"/>
  <c r="AE87"/>
  <c r="AD87"/>
  <c r="AC87"/>
  <c r="AB87"/>
  <c r="AA87"/>
  <c r="AE86"/>
  <c r="AD86"/>
  <c r="AC86"/>
  <c r="AB86"/>
  <c r="AA86"/>
  <c r="AE85"/>
  <c r="AD85"/>
  <c r="AC85"/>
  <c r="AB85"/>
  <c r="AA85"/>
  <c r="AE84"/>
  <c r="AD84"/>
  <c r="AC84"/>
  <c r="AB84"/>
  <c r="AA84"/>
  <c r="AE79"/>
  <c r="AD79"/>
  <c r="AC79"/>
  <c r="AB79"/>
  <c r="AA79"/>
  <c r="AE78"/>
  <c r="AD78"/>
  <c r="AC78"/>
  <c r="AB78"/>
  <c r="AA78"/>
  <c r="AE77"/>
  <c r="AD77"/>
  <c r="AC77"/>
  <c r="AB77"/>
  <c r="AA77"/>
  <c r="AE76"/>
  <c r="AC76"/>
  <c r="AB76"/>
  <c r="AA76"/>
  <c r="AE75"/>
  <c r="AD75"/>
  <c r="AA75"/>
  <c r="AE74"/>
  <c r="AD74"/>
  <c r="AC74"/>
  <c r="AB74"/>
  <c r="AA74"/>
  <c r="AD73"/>
  <c r="AC73"/>
  <c r="AB73"/>
  <c r="AE72"/>
  <c r="AD72"/>
  <c r="AC72"/>
  <c r="AB72"/>
  <c r="AE65"/>
  <c r="AD65"/>
  <c r="AC65"/>
  <c r="AB65"/>
  <c r="AA65"/>
  <c r="AE64"/>
  <c r="AD64"/>
  <c r="AC64"/>
  <c r="AB64"/>
  <c r="AA64"/>
  <c r="AE63"/>
  <c r="AD63"/>
  <c r="AC63"/>
  <c r="AB63"/>
  <c r="AA63"/>
  <c r="AE62"/>
  <c r="AD62"/>
  <c r="AC62"/>
  <c r="AB62"/>
  <c r="AA62"/>
  <c r="AE61"/>
  <c r="AD61"/>
  <c r="AC61"/>
  <c r="AA61"/>
  <c r="AE60"/>
  <c r="AD60"/>
  <c r="AC60"/>
  <c r="AB60"/>
  <c r="AA60"/>
  <c r="AE59"/>
  <c r="AD59"/>
  <c r="AC59"/>
  <c r="AB59"/>
  <c r="AA59"/>
  <c r="AE58"/>
  <c r="AD58"/>
  <c r="AC58"/>
  <c r="AB58"/>
  <c r="AA58"/>
  <c r="AE57"/>
  <c r="AD57"/>
  <c r="AC57"/>
  <c r="AB57"/>
  <c r="AA57"/>
  <c r="AE56"/>
  <c r="AD56"/>
  <c r="AC56"/>
  <c r="AB56"/>
  <c r="AA56"/>
  <c r="AE55"/>
  <c r="AD55"/>
  <c r="AC55"/>
  <c r="AB55"/>
  <c r="AA55"/>
  <c r="AE54"/>
  <c r="AD54"/>
  <c r="AC54"/>
  <c r="AB54"/>
  <c r="AA54"/>
  <c r="AE53"/>
  <c r="AD53"/>
  <c r="AC53"/>
  <c r="AB53"/>
  <c r="AA53"/>
  <c r="AJ155"/>
  <c r="AJ150"/>
  <c r="AJ141"/>
  <c r="AJ133"/>
  <c r="AJ122"/>
  <c r="AH99"/>
  <c r="AG99"/>
  <c r="AE99"/>
  <c r="AD99"/>
  <c r="AC99"/>
  <c r="AB99"/>
  <c r="AA99"/>
  <c r="AE94"/>
  <c r="AD94"/>
  <c r="AC94"/>
  <c r="AB94"/>
  <c r="AA94"/>
  <c r="AL93"/>
  <c r="AJ93"/>
  <c r="AJ102"/>
  <c r="AI93"/>
  <c r="AE93"/>
  <c r="AD93"/>
  <c r="AC93"/>
  <c r="AB93"/>
  <c r="AA93"/>
  <c r="AJ88"/>
  <c r="AJ80"/>
  <c r="AJ66"/>
  <c r="BI177" i="2"/>
  <c r="BH185"/>
  <c r="BH183"/>
  <c r="BH182"/>
  <c r="BH181"/>
  <c r="BH180"/>
  <c r="BH179"/>
  <c r="BH178"/>
  <c r="BH177"/>
  <c r="BH176"/>
  <c r="BH170"/>
  <c r="BH169"/>
  <c r="BH168"/>
  <c r="BH167"/>
  <c r="BH166"/>
  <c r="BH165"/>
  <c r="BH163"/>
  <c r="BH162"/>
  <c r="BH161"/>
  <c r="BH160"/>
  <c r="BH159"/>
  <c r="BH158"/>
  <c r="BH154"/>
  <c r="BH155"/>
  <c r="BH149"/>
  <c r="BH148"/>
  <c r="BH147"/>
  <c r="BH145"/>
  <c r="BH144"/>
  <c r="BH140"/>
  <c r="BH139"/>
  <c r="BH138"/>
  <c r="BH137"/>
  <c r="BH132"/>
  <c r="BH131"/>
  <c r="BH130"/>
  <c r="BH129"/>
  <c r="BH128"/>
  <c r="BH127"/>
  <c r="BH126"/>
  <c r="BH125"/>
  <c r="BH121"/>
  <c r="BH119"/>
  <c r="BH118"/>
  <c r="BH117"/>
  <c r="BH116"/>
  <c r="BH115"/>
  <c r="BH114"/>
  <c r="BH113"/>
  <c r="BH112"/>
  <c r="BH111"/>
  <c r="BH110"/>
  <c r="BH108"/>
  <c r="BH65"/>
  <c r="BH64"/>
  <c r="BH63"/>
  <c r="BH62"/>
  <c r="BH61"/>
  <c r="BH60"/>
  <c r="BH59"/>
  <c r="BH58"/>
  <c r="BH57"/>
  <c r="BH56"/>
  <c r="BH55"/>
  <c r="BH54"/>
  <c r="BH53"/>
  <c r="BE170"/>
  <c r="BE185"/>
  <c r="BD185"/>
  <c r="BC185"/>
  <c r="BB185"/>
  <c r="BA185"/>
  <c r="BC184"/>
  <c r="BB184"/>
  <c r="BA184"/>
  <c r="BE183"/>
  <c r="BD183"/>
  <c r="BC183"/>
  <c r="BB183"/>
  <c r="BA183"/>
  <c r="BE182"/>
  <c r="BD182"/>
  <c r="BC182"/>
  <c r="BB182"/>
  <c r="BA182"/>
  <c r="BE181"/>
  <c r="BD181"/>
  <c r="BC181"/>
  <c r="BB181"/>
  <c r="BA181"/>
  <c r="BE180"/>
  <c r="BD180"/>
  <c r="BC180"/>
  <c r="BB180"/>
  <c r="BA180"/>
  <c r="BE179"/>
  <c r="BD179"/>
  <c r="BC179"/>
  <c r="BB179"/>
  <c r="BA179"/>
  <c r="BE178"/>
  <c r="BD178"/>
  <c r="BC178"/>
  <c r="BB178"/>
  <c r="BA178"/>
  <c r="BE177"/>
  <c r="BD177"/>
  <c r="BC177"/>
  <c r="BB177"/>
  <c r="BA177"/>
  <c r="BE176"/>
  <c r="BD176"/>
  <c r="BC176"/>
  <c r="BB176"/>
  <c r="BA176"/>
  <c r="BD170"/>
  <c r="BC170"/>
  <c r="BB170"/>
  <c r="BA170"/>
  <c r="BE169"/>
  <c r="BD169"/>
  <c r="BC169"/>
  <c r="BB169"/>
  <c r="BA169"/>
  <c r="BE168"/>
  <c r="BD168"/>
  <c r="BC168"/>
  <c r="BB168"/>
  <c r="BA168"/>
  <c r="BE167"/>
  <c r="BD167"/>
  <c r="BC167"/>
  <c r="BB167"/>
  <c r="BA167"/>
  <c r="BE166"/>
  <c r="BD166"/>
  <c r="BC166"/>
  <c r="BB166"/>
  <c r="BA166"/>
  <c r="BE165"/>
  <c r="BD165"/>
  <c r="BC165"/>
  <c r="BB165"/>
  <c r="BA165"/>
  <c r="BE164"/>
  <c r="BD164"/>
  <c r="BC164"/>
  <c r="BB164"/>
  <c r="BA164"/>
  <c r="BE163"/>
  <c r="BD163"/>
  <c r="BC163"/>
  <c r="BB163"/>
  <c r="BA163"/>
  <c r="BE162"/>
  <c r="BD162"/>
  <c r="BC162"/>
  <c r="BB162"/>
  <c r="BA162"/>
  <c r="BE161"/>
  <c r="BD161"/>
  <c r="BC161"/>
  <c r="BB161"/>
  <c r="BA161"/>
  <c r="BE160"/>
  <c r="BD160"/>
  <c r="BC160"/>
  <c r="BB160"/>
  <c r="BA160"/>
  <c r="BE159"/>
  <c r="BD159"/>
  <c r="BC159"/>
  <c r="BB159"/>
  <c r="BA159"/>
  <c r="BE158"/>
  <c r="BD158"/>
  <c r="BC158"/>
  <c r="BB158"/>
  <c r="BA158"/>
  <c r="BE154"/>
  <c r="BD154"/>
  <c r="BC154"/>
  <c r="BB154"/>
  <c r="BA154"/>
  <c r="BE149"/>
  <c r="BD149"/>
  <c r="BC149"/>
  <c r="BB149"/>
  <c r="BA149"/>
  <c r="BE148"/>
  <c r="BD148"/>
  <c r="BC148"/>
  <c r="BB148"/>
  <c r="BA148"/>
  <c r="BE147"/>
  <c r="BD147"/>
  <c r="BC147"/>
  <c r="BB147"/>
  <c r="BA147"/>
  <c r="BE145"/>
  <c r="BD145"/>
  <c r="BC145"/>
  <c r="BB145"/>
  <c r="BA145"/>
  <c r="BE144"/>
  <c r="BD144"/>
  <c r="BC144"/>
  <c r="BB144"/>
  <c r="BA144"/>
  <c r="BE140"/>
  <c r="BD140"/>
  <c r="BC140"/>
  <c r="BB140"/>
  <c r="BA140"/>
  <c r="BE139"/>
  <c r="BD139"/>
  <c r="BC139"/>
  <c r="BB139"/>
  <c r="BA139"/>
  <c r="BE138"/>
  <c r="BD138"/>
  <c r="BC138"/>
  <c r="BB138"/>
  <c r="BA138"/>
  <c r="BE137"/>
  <c r="BD137"/>
  <c r="BC137"/>
  <c r="BB137"/>
  <c r="BA137"/>
  <c r="BE132"/>
  <c r="BD132"/>
  <c r="BC132"/>
  <c r="BB132"/>
  <c r="BA132"/>
  <c r="BE131"/>
  <c r="BD131"/>
  <c r="BC131"/>
  <c r="BB131"/>
  <c r="BA131"/>
  <c r="BE130"/>
  <c r="BD130"/>
  <c r="BC130"/>
  <c r="BB130"/>
  <c r="BA130"/>
  <c r="BE129"/>
  <c r="BD129"/>
  <c r="BC129"/>
  <c r="BB129"/>
  <c r="BA129"/>
  <c r="BE128"/>
  <c r="BD128"/>
  <c r="BC128"/>
  <c r="BB128"/>
  <c r="BA128"/>
  <c r="BE127"/>
  <c r="BD127"/>
  <c r="BC127"/>
  <c r="BB127"/>
  <c r="BA127"/>
  <c r="BE126"/>
  <c r="BD126"/>
  <c r="BC126"/>
  <c r="BB126"/>
  <c r="BA126"/>
  <c r="BE125"/>
  <c r="BD125"/>
  <c r="BC125"/>
  <c r="BB125"/>
  <c r="BA125"/>
  <c r="BE121"/>
  <c r="BD121"/>
  <c r="BC121"/>
  <c r="BB121"/>
  <c r="BA121"/>
  <c r="BE120"/>
  <c r="BD120"/>
  <c r="BC120"/>
  <c r="BB120"/>
  <c r="BA120"/>
  <c r="BE119"/>
  <c r="BD119"/>
  <c r="BC119"/>
  <c r="BB119"/>
  <c r="BA119"/>
  <c r="BE118"/>
  <c r="BD118"/>
  <c r="BC118"/>
  <c r="BB118"/>
  <c r="BA118"/>
  <c r="BE117"/>
  <c r="BD117"/>
  <c r="BC117"/>
  <c r="BB117"/>
  <c r="BA117"/>
  <c r="BE116"/>
  <c r="BD116"/>
  <c r="BC116"/>
  <c r="BB116"/>
  <c r="BA116"/>
  <c r="BE115"/>
  <c r="BD115"/>
  <c r="BC115"/>
  <c r="BB115"/>
  <c r="BA115"/>
  <c r="BE114"/>
  <c r="BD114"/>
  <c r="BC114"/>
  <c r="BB114"/>
  <c r="BA114"/>
  <c r="BE113"/>
  <c r="BD113"/>
  <c r="BC113"/>
  <c r="BB113"/>
  <c r="BA113"/>
  <c r="BE112"/>
  <c r="BD112"/>
  <c r="BC112"/>
  <c r="BB112"/>
  <c r="BA112"/>
  <c r="BE111"/>
  <c r="BD111"/>
  <c r="BC111"/>
  <c r="BB111"/>
  <c r="BA111"/>
  <c r="BE110"/>
  <c r="BD110"/>
  <c r="BC110"/>
  <c r="BB110"/>
  <c r="BA110"/>
  <c r="BE109"/>
  <c r="BD109"/>
  <c r="BC109"/>
  <c r="BB109"/>
  <c r="BE108"/>
  <c r="BD108"/>
  <c r="BC108"/>
  <c r="BB108"/>
  <c r="BA108"/>
  <c r="BA87"/>
  <c r="BA86"/>
  <c r="BA85"/>
  <c r="BA84"/>
  <c r="BA79"/>
  <c r="BA78"/>
  <c r="BA77"/>
  <c r="BA76"/>
  <c r="BA75"/>
  <c r="BA74"/>
  <c r="BE65"/>
  <c r="BD65"/>
  <c r="BC65"/>
  <c r="BB65"/>
  <c r="BA65"/>
  <c r="BE64"/>
  <c r="BD64"/>
  <c r="BC64"/>
  <c r="BB64"/>
  <c r="BA64"/>
  <c r="BE63"/>
  <c r="BD63"/>
  <c r="BC63"/>
  <c r="BB63"/>
  <c r="BA63"/>
  <c r="BE62"/>
  <c r="BD62"/>
  <c r="BC62"/>
  <c r="BB62"/>
  <c r="BA62"/>
  <c r="BE61"/>
  <c r="BD61"/>
  <c r="BC61"/>
  <c r="BB61"/>
  <c r="BA61"/>
  <c r="BE60"/>
  <c r="BD60"/>
  <c r="BC60"/>
  <c r="BB60"/>
  <c r="BA60"/>
  <c r="BE59"/>
  <c r="BD59"/>
  <c r="BC59"/>
  <c r="BB59"/>
  <c r="BA59"/>
  <c r="BE58"/>
  <c r="BD58"/>
  <c r="BC58"/>
  <c r="BB58"/>
  <c r="BA58"/>
  <c r="BE57"/>
  <c r="BD57"/>
  <c r="BC57"/>
  <c r="BB57"/>
  <c r="BA57"/>
  <c r="BE56"/>
  <c r="BD56"/>
  <c r="BC56"/>
  <c r="BB56"/>
  <c r="BA56"/>
  <c r="BE55"/>
  <c r="BD55"/>
  <c r="BC55"/>
  <c r="BB55"/>
  <c r="BA55"/>
  <c r="BE54"/>
  <c r="BD54"/>
  <c r="BC54"/>
  <c r="BB54"/>
  <c r="BA54"/>
  <c r="BE53"/>
  <c r="BD53"/>
  <c r="BC53"/>
  <c r="BB53"/>
  <c r="BA53"/>
  <c r="BA93"/>
  <c r="BI185"/>
  <c r="BI183"/>
  <c r="BI182"/>
  <c r="BI181"/>
  <c r="BI180"/>
  <c r="BI179"/>
  <c r="BI178"/>
  <c r="BI176"/>
  <c r="BI170"/>
  <c r="BI169"/>
  <c r="BI168"/>
  <c r="BI167"/>
  <c r="BI166"/>
  <c r="BI165"/>
  <c r="BI164"/>
  <c r="BI163"/>
  <c r="BI162"/>
  <c r="BI161"/>
  <c r="BI160"/>
  <c r="BI159"/>
  <c r="BI158"/>
  <c r="BI154"/>
  <c r="BI149"/>
  <c r="BI148"/>
  <c r="BI147"/>
  <c r="BI145"/>
  <c r="BI144"/>
  <c r="BI140"/>
  <c r="BI139"/>
  <c r="BI138"/>
  <c r="BI137"/>
  <c r="BI132"/>
  <c r="BI131"/>
  <c r="BI130"/>
  <c r="BI129"/>
  <c r="BI128"/>
  <c r="BI127"/>
  <c r="BI126"/>
  <c r="BI125"/>
  <c r="BI121"/>
  <c r="BI120"/>
  <c r="BI119"/>
  <c r="BI118"/>
  <c r="BI117"/>
  <c r="BI116"/>
  <c r="BI115"/>
  <c r="BI114"/>
  <c r="BI113"/>
  <c r="BI112"/>
  <c r="BI111"/>
  <c r="BI110"/>
  <c r="BI109"/>
  <c r="BI108"/>
  <c r="BJ185"/>
  <c r="BJ183"/>
  <c r="BJ182"/>
  <c r="BJ181"/>
  <c r="BJ180"/>
  <c r="BJ179"/>
  <c r="BJ178"/>
  <c r="BJ177"/>
  <c r="BJ176"/>
  <c r="BJ170"/>
  <c r="BJ168"/>
  <c r="BJ167"/>
  <c r="BJ166"/>
  <c r="BJ165"/>
  <c r="BJ164"/>
  <c r="BJ163"/>
  <c r="BJ161"/>
  <c r="BJ160"/>
  <c r="BJ159"/>
  <c r="BJ155"/>
  <c r="BJ149"/>
  <c r="BJ148"/>
  <c r="BJ147"/>
  <c r="BJ145"/>
  <c r="BJ144"/>
  <c r="BJ140"/>
  <c r="BJ139"/>
  <c r="BJ138"/>
  <c r="BJ137"/>
  <c r="BJ132"/>
  <c r="BJ131"/>
  <c r="BJ130"/>
  <c r="BJ129"/>
  <c r="BJ128"/>
  <c r="BJ127"/>
  <c r="BJ126"/>
  <c r="BJ125"/>
  <c r="BJ121"/>
  <c r="BJ120"/>
  <c r="BJ119"/>
  <c r="BJ118"/>
  <c r="BJ117"/>
  <c r="BJ116"/>
  <c r="BJ115"/>
  <c r="BJ114"/>
  <c r="BJ113"/>
  <c r="BJ112"/>
  <c r="BJ111"/>
  <c r="BJ109"/>
  <c r="BJ108"/>
  <c r="BJ87"/>
  <c r="BJ85"/>
  <c r="BJ84"/>
  <c r="BJ79"/>
  <c r="BJ78"/>
  <c r="BJ76"/>
  <c r="BJ75"/>
  <c r="BJ74"/>
  <c r="BJ73"/>
  <c r="BJ72"/>
  <c r="BL176"/>
  <c r="BL177"/>
  <c r="BL178"/>
  <c r="BL179"/>
  <c r="BL180"/>
  <c r="BL181"/>
  <c r="BL182"/>
  <c r="BL183"/>
  <c r="BL159"/>
  <c r="BL160"/>
  <c r="BL161"/>
  <c r="BL163"/>
  <c r="BL164"/>
  <c r="BL165"/>
  <c r="BL166"/>
  <c r="BL167"/>
  <c r="BL168"/>
  <c r="BL169"/>
  <c r="BL170"/>
  <c r="BL158"/>
  <c r="BL154"/>
  <c r="BL155"/>
  <c r="BL145"/>
  <c r="BL147"/>
  <c r="BL148"/>
  <c r="BL149"/>
  <c r="BL144"/>
  <c r="BL138"/>
  <c r="BL139"/>
  <c r="BL140"/>
  <c r="BL137"/>
  <c r="BK138"/>
  <c r="BK139"/>
  <c r="BK140"/>
  <c r="BK137"/>
  <c r="BL126"/>
  <c r="BL127"/>
  <c r="BL128"/>
  <c r="BL129"/>
  <c r="BL130"/>
  <c r="BL131"/>
  <c r="BL132"/>
  <c r="BL125"/>
  <c r="BL109"/>
  <c r="BL110"/>
  <c r="BL111"/>
  <c r="BL112"/>
  <c r="BL113"/>
  <c r="BL114"/>
  <c r="BL115"/>
  <c r="BL116"/>
  <c r="BL117"/>
  <c r="BL118"/>
  <c r="BL119"/>
  <c r="BL120"/>
  <c r="BL121"/>
  <c r="BL108"/>
  <c r="BL54"/>
  <c r="BL55"/>
  <c r="BL56"/>
  <c r="BL57"/>
  <c r="BL59"/>
  <c r="BL60"/>
  <c r="BL61"/>
  <c r="BL62"/>
  <c r="BL63"/>
  <c r="BL64"/>
  <c r="BL65"/>
  <c r="BL53"/>
  <c r="BK176"/>
  <c r="BK177"/>
  <c r="BK178"/>
  <c r="BK179"/>
  <c r="BK180"/>
  <c r="BK181"/>
  <c r="BK182"/>
  <c r="BK183"/>
  <c r="BK185"/>
  <c r="BK159"/>
  <c r="BK160"/>
  <c r="BK161"/>
  <c r="BK162"/>
  <c r="BK163"/>
  <c r="BK165"/>
  <c r="BK166"/>
  <c r="BK167"/>
  <c r="BK168"/>
  <c r="BK169"/>
  <c r="BK170"/>
  <c r="BK145"/>
  <c r="BK147"/>
  <c r="BK148"/>
  <c r="BK149"/>
  <c r="BK144"/>
  <c r="BK126"/>
  <c r="BK127"/>
  <c r="BK128"/>
  <c r="BK129"/>
  <c r="BK130"/>
  <c r="BK131"/>
  <c r="BK132"/>
  <c r="BK125"/>
  <c r="BK109"/>
  <c r="BK110"/>
  <c r="BK111"/>
  <c r="BK112"/>
  <c r="BK113"/>
  <c r="BK114"/>
  <c r="BK115"/>
  <c r="BK116"/>
  <c r="BK117"/>
  <c r="BK118"/>
  <c r="BK119"/>
  <c r="BK120"/>
  <c r="BK121"/>
  <c r="BK108"/>
  <c r="BK54"/>
  <c r="BK55"/>
  <c r="BK56"/>
  <c r="BK58"/>
  <c r="BK59"/>
  <c r="BK60"/>
  <c r="BK61"/>
  <c r="BK62"/>
  <c r="BK63"/>
  <c r="BK64"/>
  <c r="BK65"/>
  <c r="BK53"/>
  <c r="F122" i="9"/>
  <c r="E122"/>
  <c r="E186"/>
  <c r="J38"/>
  <c r="J49"/>
  <c r="I49"/>
  <c r="J66"/>
  <c r="F186"/>
  <c r="F188"/>
  <c r="H88"/>
  <c r="H49"/>
  <c r="H66"/>
  <c r="H38"/>
  <c r="H68"/>
  <c r="I88"/>
  <c r="J122"/>
  <c r="H133"/>
  <c r="H141"/>
  <c r="I150"/>
  <c r="J186"/>
  <c r="Q122"/>
  <c r="Q133"/>
  <c r="Q141"/>
  <c r="Q150"/>
  <c r="Q171"/>
  <c r="F49"/>
  <c r="I186"/>
  <c r="I66"/>
  <c r="I38"/>
  <c r="I68"/>
  <c r="J88"/>
  <c r="J171"/>
  <c r="T183"/>
  <c r="L183" i="1"/>
  <c r="O38" i="9"/>
  <c r="O49"/>
  <c r="O66"/>
  <c r="D80"/>
  <c r="D96"/>
  <c r="R88"/>
  <c r="BF171" i="2"/>
  <c r="AS141" i="21"/>
  <c r="AS88"/>
  <c r="G175"/>
  <c r="G186"/>
  <c r="Z68"/>
  <c r="L68"/>
  <c r="Q68"/>
  <c r="U68"/>
  <c r="Y68"/>
  <c r="AC68"/>
  <c r="AG68"/>
  <c r="AL68"/>
  <c r="H175"/>
  <c r="F189" i="7"/>
  <c r="I171" i="9"/>
  <c r="J150"/>
  <c r="J188"/>
  <c r="G186"/>
  <c r="Q38"/>
  <c r="Q49"/>
  <c r="Q66"/>
  <c r="R122"/>
  <c r="R141"/>
  <c r="R171"/>
  <c r="F38"/>
  <c r="F68"/>
  <c r="T27"/>
  <c r="L27" i="1"/>
  <c r="T13" i="9"/>
  <c r="L13" i="1"/>
  <c r="T45" i="9"/>
  <c r="L45" i="1"/>
  <c r="T56" i="9"/>
  <c r="L56" i="1"/>
  <c r="T19" i="9"/>
  <c r="L19" i="1"/>
  <c r="E38" i="9"/>
  <c r="E68"/>
  <c r="T65"/>
  <c r="L65" i="1"/>
  <c r="T79" i="9"/>
  <c r="L79" i="1"/>
  <c r="O133" i="9"/>
  <c r="T41"/>
  <c r="L41" i="1"/>
  <c r="O171" i="9"/>
  <c r="G188"/>
  <c r="O88"/>
  <c r="O186"/>
  <c r="R133"/>
  <c r="R150"/>
  <c r="O122"/>
  <c r="O141"/>
  <c r="R38"/>
  <c r="Q80"/>
  <c r="Q88"/>
  <c r="Q98"/>
  <c r="T170"/>
  <c r="L170" i="1"/>
  <c r="Q186" i="9"/>
  <c r="T178"/>
  <c r="L178" i="1"/>
  <c r="T182" i="9"/>
  <c r="L182" i="1"/>
  <c r="D38" i="9"/>
  <c r="D68"/>
  <c r="T15"/>
  <c r="L15" i="1"/>
  <c r="T17" i="9"/>
  <c r="L17" i="1"/>
  <c r="T21" i="9"/>
  <c r="L21" i="1"/>
  <c r="T23" i="9"/>
  <c r="L23" i="1"/>
  <c r="T25" i="9"/>
  <c r="L25" i="1"/>
  <c r="T29" i="9"/>
  <c r="L29" i="1"/>
  <c r="T34" i="9"/>
  <c r="L34" i="1"/>
  <c r="T61" i="9"/>
  <c r="L61" i="1"/>
  <c r="T75" i="9"/>
  <c r="L75" i="1"/>
  <c r="T147" i="9"/>
  <c r="L147" i="1"/>
  <c r="T166" i="9"/>
  <c r="L166" i="1"/>
  <c r="G68" i="17"/>
  <c r="J122" i="7"/>
  <c r="AG88" i="17"/>
  <c r="T179" i="9"/>
  <c r="L179" i="1"/>
  <c r="T145" i="9"/>
  <c r="L145" i="1"/>
  <c r="T149" i="9"/>
  <c r="L149" i="1"/>
  <c r="E188" i="9"/>
  <c r="T129"/>
  <c r="L129" i="1"/>
  <c r="D188" i="9"/>
  <c r="T128"/>
  <c r="L128" i="1"/>
  <c r="T130" i="9"/>
  <c r="L130" i="1"/>
  <c r="T132" i="9"/>
  <c r="L132" i="1"/>
  <c r="T111" i="9"/>
  <c r="L111" i="1"/>
  <c r="T116" i="9"/>
  <c r="L116" i="1"/>
  <c r="T120" i="9"/>
  <c r="L120" i="1"/>
  <c r="T109" i="9"/>
  <c r="L109" i="1"/>
  <c r="T113" i="9"/>
  <c r="L113" i="1"/>
  <c r="T117" i="9"/>
  <c r="L117" i="1"/>
  <c r="T121" i="9"/>
  <c r="L121" i="1"/>
  <c r="T73" i="9"/>
  <c r="L73" i="1"/>
  <c r="T53" i="9"/>
  <c r="L53" i="1"/>
  <c r="T57" i="9"/>
  <c r="L57" i="1"/>
  <c r="T36" i="9"/>
  <c r="L36" i="1"/>
  <c r="T31" i="9"/>
  <c r="L31" i="1"/>
  <c r="T33" i="9"/>
  <c r="L33" i="1"/>
  <c r="T35" i="9"/>
  <c r="L35" i="1"/>
  <c r="T37" i="9"/>
  <c r="L37" i="1"/>
  <c r="G68" i="9"/>
  <c r="T165"/>
  <c r="L165" i="1"/>
  <c r="T169" i="9"/>
  <c r="L169" i="1"/>
  <c r="T144" i="9"/>
  <c r="L144" i="1"/>
  <c r="T127" i="9"/>
  <c r="L127" i="1"/>
  <c r="T131" i="9"/>
  <c r="L131" i="1"/>
  <c r="T112" i="9"/>
  <c r="L112" i="1"/>
  <c r="T85" i="9"/>
  <c r="L85" i="1"/>
  <c r="T86" i="9"/>
  <c r="L86" i="1"/>
  <c r="T87" i="9"/>
  <c r="L87" i="1"/>
  <c r="T74" i="9"/>
  <c r="L74" i="1"/>
  <c r="T78" i="9"/>
  <c r="L78" i="1"/>
  <c r="T60" i="9"/>
  <c r="L60" i="1"/>
  <c r="T64" i="9"/>
  <c r="L64" i="1"/>
  <c r="T42" i="9"/>
  <c r="L42" i="1"/>
  <c r="T44" i="9"/>
  <c r="L44" i="1"/>
  <c r="T46" i="9"/>
  <c r="L46" i="1"/>
  <c r="T48" i="9"/>
  <c r="L48" i="1"/>
  <c r="T176" i="9"/>
  <c r="L176" i="1"/>
  <c r="T177" i="9"/>
  <c r="L177" i="1"/>
  <c r="T180" i="9"/>
  <c r="L180" i="1"/>
  <c r="T181" i="9"/>
  <c r="L181" i="1"/>
  <c r="T160" i="9"/>
  <c r="L160" i="1"/>
  <c r="T164" i="9"/>
  <c r="L164" i="1"/>
  <c r="T167" i="9"/>
  <c r="L167" i="1"/>
  <c r="T168" i="9"/>
  <c r="L168" i="1"/>
  <c r="O150" i="9"/>
  <c r="T138"/>
  <c r="L138" i="1"/>
  <c r="T110" i="9"/>
  <c r="L110" i="1"/>
  <c r="T115" i="9"/>
  <c r="L115" i="1"/>
  <c r="T118" i="9"/>
  <c r="L118" i="1"/>
  <c r="T119" i="9"/>
  <c r="L119" i="1"/>
  <c r="T84" i="9"/>
  <c r="L84" i="1"/>
  <c r="T54" i="9"/>
  <c r="L54" i="1"/>
  <c r="T55" i="9"/>
  <c r="L55" i="1"/>
  <c r="T59" i="9"/>
  <c r="L59" i="1"/>
  <c r="T62" i="9"/>
  <c r="L62" i="1"/>
  <c r="T63" i="9"/>
  <c r="L63" i="1"/>
  <c r="T43" i="9"/>
  <c r="L43" i="1"/>
  <c r="T47" i="9"/>
  <c r="L47" i="1"/>
  <c r="T16" i="9"/>
  <c r="L16" i="1"/>
  <c r="T18" i="9"/>
  <c r="L18" i="1"/>
  <c r="T20" i="9"/>
  <c r="L20" i="1"/>
  <c r="T22" i="9"/>
  <c r="L22" i="1"/>
  <c r="T24" i="9"/>
  <c r="L24" i="1"/>
  <c r="T26" i="9"/>
  <c r="L26" i="1"/>
  <c r="T28" i="9"/>
  <c r="L28" i="1"/>
  <c r="T30" i="9"/>
  <c r="L30" i="1"/>
  <c r="T159" i="9"/>
  <c r="L159" i="1"/>
  <c r="T162" i="9"/>
  <c r="L162" i="1"/>
  <c r="T139" i="9"/>
  <c r="L139" i="1"/>
  <c r="T125" i="9"/>
  <c r="L125" i="1"/>
  <c r="H122" i="9"/>
  <c r="T114"/>
  <c r="L114" i="1"/>
  <c r="I90" i="9"/>
  <c r="I101"/>
  <c r="J68"/>
  <c r="T14"/>
  <c r="L14" i="1"/>
  <c r="T161" i="9"/>
  <c r="L161" i="1"/>
  <c r="T108" i="9"/>
  <c r="L108" i="1"/>
  <c r="T163" i="9"/>
  <c r="L163" i="1"/>
  <c r="T126" i="9"/>
  <c r="L126" i="1"/>
  <c r="I95" i="9"/>
  <c r="I96"/>
  <c r="I97"/>
  <c r="I98"/>
  <c r="AJ186" i="17"/>
  <c r="AF141"/>
  <c r="AF133"/>
  <c r="AF88"/>
  <c r="J68" i="7"/>
  <c r="G189"/>
  <c r="H189"/>
  <c r="D189"/>
  <c r="E189"/>
  <c r="F150" i="21"/>
  <c r="F171"/>
  <c r="F93"/>
  <c r="F94"/>
  <c r="AV122"/>
  <c r="AX122"/>
  <c r="AV133"/>
  <c r="AV141"/>
  <c r="AX141"/>
  <c r="AV150"/>
  <c r="M68"/>
  <c r="AD68"/>
  <c r="E38"/>
  <c r="E49"/>
  <c r="E133"/>
  <c r="E141"/>
  <c r="AU99"/>
  <c r="J68"/>
  <c r="O68"/>
  <c r="S68"/>
  <c r="W68"/>
  <c r="AA68"/>
  <c r="AE68"/>
  <c r="AI68"/>
  <c r="H186"/>
  <c r="R68"/>
  <c r="V68"/>
  <c r="AH68"/>
  <c r="E150"/>
  <c r="AU66"/>
  <c r="AN122"/>
  <c r="AV171"/>
  <c r="AS66"/>
  <c r="F99"/>
  <c r="AS171"/>
  <c r="G68"/>
  <c r="AS150"/>
  <c r="AT49"/>
  <c r="AS80"/>
  <c r="AS122"/>
  <c r="H68"/>
  <c r="AS133"/>
  <c r="AF150" i="17"/>
  <c r="AL122"/>
  <c r="AI141"/>
  <c r="AI150"/>
  <c r="AI171"/>
  <c r="C90"/>
  <c r="C104"/>
  <c r="AB66"/>
  <c r="AC88"/>
  <c r="AB171"/>
  <c r="F175"/>
  <c r="F186"/>
  <c r="AF171"/>
  <c r="AF122"/>
  <c r="AF66"/>
  <c r="BF150" i="2"/>
  <c r="BF122"/>
  <c r="BF133"/>
  <c r="BF141"/>
  <c r="BF186"/>
  <c r="BL133"/>
  <c r="BK141"/>
  <c r="BL141"/>
  <c r="BL150"/>
  <c r="BL171"/>
  <c r="AF80" i="17"/>
  <c r="AV66" i="21"/>
  <c r="AV88"/>
  <c r="AK133" i="17"/>
  <c r="AL150"/>
  <c r="AA88"/>
  <c r="AD122"/>
  <c r="AC133"/>
  <c r="AD141"/>
  <c r="AD150"/>
  <c r="AE150"/>
  <c r="AD171"/>
  <c r="AG122"/>
  <c r="AG141"/>
  <c r="AG171"/>
  <c r="AH141"/>
  <c r="AH150"/>
  <c r="AI88"/>
  <c r="AI122"/>
  <c r="AL88"/>
  <c r="BJ122" i="2"/>
  <c r="BJ133"/>
  <c r="BJ141"/>
  <c r="BJ150"/>
  <c r="BJ171"/>
  <c r="BI171"/>
  <c r="BK133"/>
  <c r="BK150"/>
  <c r="BJ88"/>
  <c r="BI141"/>
  <c r="BI150"/>
  <c r="BH133"/>
  <c r="AI133" i="17"/>
  <c r="AH88" i="21"/>
  <c r="F84"/>
  <c r="K68"/>
  <c r="P68"/>
  <c r="T68"/>
  <c r="X68"/>
  <c r="AB68"/>
  <c r="AF68"/>
  <c r="AJ68"/>
  <c r="AT38"/>
  <c r="AZ86"/>
  <c r="I86" i="1"/>
  <c r="F133" i="21"/>
  <c r="AR122"/>
  <c r="AW150"/>
  <c r="AU171"/>
  <c r="F38"/>
  <c r="F49"/>
  <c r="F66"/>
  <c r="F141"/>
  <c r="F122"/>
  <c r="E66"/>
  <c r="E68"/>
  <c r="AH171" i="17"/>
  <c r="AN86"/>
  <c r="F86" i="1"/>
  <c r="AC122" i="17"/>
  <c r="AA122"/>
  <c r="AE133"/>
  <c r="AD133"/>
  <c r="AA141"/>
  <c r="AA171"/>
  <c r="AE171"/>
  <c r="AG66"/>
  <c r="AG80"/>
  <c r="AG95"/>
  <c r="AH66"/>
  <c r="AH80"/>
  <c r="AH133"/>
  <c r="AI66"/>
  <c r="AK88"/>
  <c r="AL133"/>
  <c r="AL141"/>
  <c r="AK150"/>
  <c r="AA66"/>
  <c r="AB122"/>
  <c r="AA133"/>
  <c r="AE141"/>
  <c r="AC171"/>
  <c r="AI186"/>
  <c r="AK141"/>
  <c r="AL171"/>
  <c r="AA186"/>
  <c r="AE66"/>
  <c r="AD66"/>
  <c r="AC66"/>
  <c r="AB133"/>
  <c r="AG133"/>
  <c r="AG150"/>
  <c r="AH88"/>
  <c r="AE88"/>
  <c r="AD88"/>
  <c r="AB88"/>
  <c r="AE122"/>
  <c r="AC141"/>
  <c r="AB141"/>
  <c r="AC150"/>
  <c r="AB150"/>
  <c r="AA150"/>
  <c r="AK122"/>
  <c r="C90" i="21"/>
  <c r="C104"/>
  <c r="AT80"/>
  <c r="AN88"/>
  <c r="AR88"/>
  <c r="AX88"/>
  <c r="AW122"/>
  <c r="AN133"/>
  <c r="AR133"/>
  <c r="AQ141"/>
  <c r="AP150"/>
  <c r="AP171"/>
  <c r="AN66"/>
  <c r="AR66"/>
  <c r="AQ66"/>
  <c r="AU88"/>
  <c r="AO122"/>
  <c r="AP133"/>
  <c r="AU133"/>
  <c r="AO141"/>
  <c r="AT141"/>
  <c r="AN150"/>
  <c r="AR150"/>
  <c r="AX150"/>
  <c r="AN171"/>
  <c r="AR171"/>
  <c r="AX171"/>
  <c r="AQ171"/>
  <c r="AO66"/>
  <c r="AT66"/>
  <c r="AQ88"/>
  <c r="AW88"/>
  <c r="AQ133"/>
  <c r="AP141"/>
  <c r="AU141"/>
  <c r="AO150"/>
  <c r="AT150"/>
  <c r="AO171"/>
  <c r="AT171"/>
  <c r="AP66"/>
  <c r="AO88"/>
  <c r="AT88"/>
  <c r="AP122"/>
  <c r="AW133"/>
  <c r="AP88"/>
  <c r="AQ122"/>
  <c r="AU122"/>
  <c r="AO133"/>
  <c r="AT133"/>
  <c r="AX133"/>
  <c r="AN141"/>
  <c r="AR141"/>
  <c r="AW141"/>
  <c r="AQ150"/>
  <c r="AU150"/>
  <c r="G175" i="17"/>
  <c r="G186"/>
  <c r="AJ68"/>
  <c r="AJ90"/>
  <c r="AJ104"/>
  <c r="AJ188"/>
  <c r="BH141" i="2"/>
  <c r="BI155"/>
  <c r="BL122"/>
  <c r="BK122"/>
  <c r="BI122"/>
  <c r="BI133"/>
  <c r="BH150"/>
  <c r="BH66"/>
  <c r="BB122"/>
  <c r="BC122"/>
  <c r="BD122"/>
  <c r="BE122"/>
  <c r="BB133"/>
  <c r="BC133"/>
  <c r="BD133"/>
  <c r="BE133"/>
  <c r="BG133"/>
  <c r="BA133"/>
  <c r="BG141"/>
  <c r="BG150"/>
  <c r="BG155"/>
  <c r="BG171"/>
  <c r="BG66"/>
  <c r="BE155"/>
  <c r="BD155"/>
  <c r="BC155"/>
  <c r="BB155"/>
  <c r="BA155"/>
  <c r="BD171"/>
  <c r="BC171"/>
  <c r="BB171"/>
  <c r="BA171"/>
  <c r="BE150"/>
  <c r="BA150"/>
  <c r="BD150"/>
  <c r="BC150"/>
  <c r="BB150"/>
  <c r="BE141"/>
  <c r="BD141"/>
  <c r="BC141"/>
  <c r="BB141"/>
  <c r="BA141"/>
  <c r="BA122"/>
  <c r="BA99"/>
  <c r="BA94"/>
  <c r="BA88"/>
  <c r="BE66"/>
  <c r="BD66"/>
  <c r="BC66"/>
  <c r="BB66"/>
  <c r="BA66"/>
  <c r="H171"/>
  <c r="H155"/>
  <c r="G155"/>
  <c r="C155"/>
  <c r="H141"/>
  <c r="G141"/>
  <c r="C141"/>
  <c r="H133"/>
  <c r="G133"/>
  <c r="H122"/>
  <c r="G122"/>
  <c r="C122"/>
  <c r="C102"/>
  <c r="H88"/>
  <c r="G88"/>
  <c r="C88"/>
  <c r="C80"/>
  <c r="H66"/>
  <c r="G66"/>
  <c r="C66"/>
  <c r="H49"/>
  <c r="G49"/>
  <c r="H38"/>
  <c r="G38"/>
  <c r="E176"/>
  <c r="E177"/>
  <c r="E178"/>
  <c r="E179"/>
  <c r="E180"/>
  <c r="E181"/>
  <c r="E182"/>
  <c r="E183"/>
  <c r="E185"/>
  <c r="E159"/>
  <c r="E160"/>
  <c r="E161"/>
  <c r="E162"/>
  <c r="E163"/>
  <c r="E164"/>
  <c r="E165"/>
  <c r="E166"/>
  <c r="E167"/>
  <c r="E168"/>
  <c r="E169"/>
  <c r="E170"/>
  <c r="E154"/>
  <c r="E155"/>
  <c r="E145"/>
  <c r="E146"/>
  <c r="E147"/>
  <c r="E148"/>
  <c r="E149"/>
  <c r="E144"/>
  <c r="E138"/>
  <c r="E139"/>
  <c r="E140"/>
  <c r="E137"/>
  <c r="E126"/>
  <c r="E127"/>
  <c r="E128"/>
  <c r="E129"/>
  <c r="E130"/>
  <c r="E131"/>
  <c r="E132"/>
  <c r="E125"/>
  <c r="E109"/>
  <c r="E110"/>
  <c r="E111"/>
  <c r="E112"/>
  <c r="E113"/>
  <c r="E114"/>
  <c r="E115"/>
  <c r="E116"/>
  <c r="E117"/>
  <c r="E118"/>
  <c r="E119"/>
  <c r="E120"/>
  <c r="E121"/>
  <c r="E108"/>
  <c r="E100"/>
  <c r="E85"/>
  <c r="E86"/>
  <c r="BN86"/>
  <c r="C86" i="1"/>
  <c r="E87" i="2"/>
  <c r="E75"/>
  <c r="E76"/>
  <c r="E77"/>
  <c r="E78"/>
  <c r="E79"/>
  <c r="E72"/>
  <c r="E54"/>
  <c r="E55"/>
  <c r="E56"/>
  <c r="E57"/>
  <c r="E58"/>
  <c r="E59"/>
  <c r="E60"/>
  <c r="E61"/>
  <c r="E62"/>
  <c r="E63"/>
  <c r="E64"/>
  <c r="E65"/>
  <c r="E53"/>
  <c r="E42"/>
  <c r="E43"/>
  <c r="E44"/>
  <c r="E45"/>
  <c r="E46"/>
  <c r="E47"/>
  <c r="E48"/>
  <c r="E4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13"/>
  <c r="I188" i="9"/>
  <c r="O68"/>
  <c r="BJ80" i="2"/>
  <c r="BJ97"/>
  <c r="BJ95"/>
  <c r="BJ98"/>
  <c r="BJ101"/>
  <c r="BJ96"/>
  <c r="Q188" i="9"/>
  <c r="D101"/>
  <c r="D95"/>
  <c r="D98"/>
  <c r="D97"/>
  <c r="D90"/>
  <c r="Q68"/>
  <c r="BF102" i="2"/>
  <c r="BF90"/>
  <c r="BF104"/>
  <c r="AD186" i="17"/>
  <c r="AF96"/>
  <c r="O86" i="1"/>
  <c r="AS90" i="21"/>
  <c r="E175"/>
  <c r="E186"/>
  <c r="AQ186"/>
  <c r="AQ188"/>
  <c r="AN186"/>
  <c r="AN188"/>
  <c r="AS68"/>
  <c r="AT186"/>
  <c r="AU186"/>
  <c r="AU188"/>
  <c r="F175"/>
  <c r="F186"/>
  <c r="AR186"/>
  <c r="AR188"/>
  <c r="AS186"/>
  <c r="BG186" i="2"/>
  <c r="Q97" i="9"/>
  <c r="L133" i="1"/>
  <c r="Q96" i="9"/>
  <c r="Q90"/>
  <c r="Q95"/>
  <c r="Q101"/>
  <c r="O188"/>
  <c r="AB186" i="17"/>
  <c r="AD68"/>
  <c r="AH95"/>
  <c r="AF186"/>
  <c r="AF188"/>
  <c r="AF98"/>
  <c r="L122" i="1"/>
  <c r="T88" i="9"/>
  <c r="T49"/>
  <c r="T133"/>
  <c r="T122"/>
  <c r="I102"/>
  <c r="I104"/>
  <c r="AH96" i="17"/>
  <c r="AF97"/>
  <c r="AF101"/>
  <c r="AF95"/>
  <c r="AC68"/>
  <c r="AE68"/>
  <c r="AE186"/>
  <c r="AF90"/>
  <c r="AF68"/>
  <c r="AV186" i="21"/>
  <c r="AV188"/>
  <c r="AS95"/>
  <c r="AV68"/>
  <c r="AO186"/>
  <c r="AO188"/>
  <c r="AS101"/>
  <c r="AO68"/>
  <c r="F68"/>
  <c r="AT68"/>
  <c r="AS97"/>
  <c r="AS188"/>
  <c r="AS98"/>
  <c r="AS96"/>
  <c r="AG96" i="17"/>
  <c r="AH186"/>
  <c r="AG68"/>
  <c r="AG186"/>
  <c r="AG188"/>
  <c r="AE188"/>
  <c r="AH68"/>
  <c r="AG101"/>
  <c r="AA188"/>
  <c r="AA68"/>
  <c r="AH90"/>
  <c r="AG98"/>
  <c r="AG97"/>
  <c r="AD188"/>
  <c r="AG90"/>
  <c r="AB188"/>
  <c r="G175" i="2"/>
  <c r="G186"/>
  <c r="BF188"/>
  <c r="BA186"/>
  <c r="BB186"/>
  <c r="BJ186"/>
  <c r="BJ188"/>
  <c r="H175"/>
  <c r="H186"/>
  <c r="BE186"/>
  <c r="BD186"/>
  <c r="AI188" i="17"/>
  <c r="AT90" i="21"/>
  <c r="F88"/>
  <c r="AP186"/>
  <c r="AP188"/>
  <c r="AB68" i="17"/>
  <c r="AH101"/>
  <c r="AI68"/>
  <c r="AH98"/>
  <c r="AQ68" i="21"/>
  <c r="AU68"/>
  <c r="AR68"/>
  <c r="AN68"/>
  <c r="AP68"/>
  <c r="AL188"/>
  <c r="AI188"/>
  <c r="AH188"/>
  <c r="AJ188"/>
  <c r="AC186" i="17"/>
  <c r="AC188"/>
  <c r="AJ190"/>
  <c r="AJ192"/>
  <c r="BH186" i="2"/>
  <c r="BC186"/>
  <c r="BI90"/>
  <c r="BE171"/>
  <c r="BH68"/>
  <c r="E133"/>
  <c r="E141"/>
  <c r="E150"/>
  <c r="BG68"/>
  <c r="C90"/>
  <c r="C104"/>
  <c r="BH90"/>
  <c r="BA68"/>
  <c r="BE68"/>
  <c r="BC68"/>
  <c r="BG90"/>
  <c r="G68"/>
  <c r="E38"/>
  <c r="E49"/>
  <c r="E66"/>
  <c r="E122"/>
  <c r="H68"/>
  <c r="BB68"/>
  <c r="BD68"/>
  <c r="G185" i="6"/>
  <c r="G184"/>
  <c r="G183"/>
  <c r="G116"/>
  <c r="G182"/>
  <c r="G181"/>
  <c r="G180"/>
  <c r="G179"/>
  <c r="G178"/>
  <c r="G177"/>
  <c r="G176"/>
  <c r="G119"/>
  <c r="G118"/>
  <c r="G175"/>
  <c r="G100"/>
  <c r="G115"/>
  <c r="G170"/>
  <c r="G169"/>
  <c r="G168"/>
  <c r="G167"/>
  <c r="G166"/>
  <c r="G165"/>
  <c r="G164"/>
  <c r="G163"/>
  <c r="G162"/>
  <c r="G161"/>
  <c r="G160"/>
  <c r="G158"/>
  <c r="G157"/>
  <c r="G156"/>
  <c r="G154"/>
  <c r="G120"/>
  <c r="G153"/>
  <c r="G152"/>
  <c r="G151"/>
  <c r="G149"/>
  <c r="G148"/>
  <c r="G147"/>
  <c r="G145"/>
  <c r="G144"/>
  <c r="G143"/>
  <c r="G142"/>
  <c r="G140"/>
  <c r="G139"/>
  <c r="G138"/>
  <c r="G137"/>
  <c r="G136"/>
  <c r="G135"/>
  <c r="G134"/>
  <c r="G132"/>
  <c r="G131"/>
  <c r="G130"/>
  <c r="G129"/>
  <c r="G128"/>
  <c r="G127"/>
  <c r="G126"/>
  <c r="G125"/>
  <c r="G117"/>
  <c r="G124"/>
  <c r="G123"/>
  <c r="G121"/>
  <c r="G114"/>
  <c r="G113"/>
  <c r="G112"/>
  <c r="G111"/>
  <c r="G110"/>
  <c r="G109"/>
  <c r="G108"/>
  <c r="G107"/>
  <c r="G106"/>
  <c r="G105"/>
  <c r="G103"/>
  <c r="G92"/>
  <c r="G91"/>
  <c r="G89"/>
  <c r="G87"/>
  <c r="G86"/>
  <c r="G85"/>
  <c r="G84"/>
  <c r="G83"/>
  <c r="G82"/>
  <c r="G81"/>
  <c r="G79"/>
  <c r="G78"/>
  <c r="G75"/>
  <c r="G74"/>
  <c r="G73"/>
  <c r="G71"/>
  <c r="G70"/>
  <c r="G69"/>
  <c r="G67"/>
  <c r="G65"/>
  <c r="G64"/>
  <c r="G63"/>
  <c r="G62"/>
  <c r="G61"/>
  <c r="G60"/>
  <c r="G59"/>
  <c r="G58"/>
  <c r="G57"/>
  <c r="G56"/>
  <c r="G55"/>
  <c r="G54"/>
  <c r="G53"/>
  <c r="G52"/>
  <c r="G51"/>
  <c r="G50"/>
  <c r="G48"/>
  <c r="G47"/>
  <c r="G46"/>
  <c r="G45"/>
  <c r="G44"/>
  <c r="G43"/>
  <c r="G42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3"/>
  <c r="E146"/>
  <c r="D146"/>
  <c r="C146"/>
  <c r="F110" i="10"/>
  <c r="E110"/>
  <c r="E146"/>
  <c r="F146"/>
  <c r="D146"/>
  <c r="C146"/>
  <c r="D110"/>
  <c r="C110"/>
  <c r="F149"/>
  <c r="E149"/>
  <c r="D149"/>
  <c r="C149"/>
  <c r="F161"/>
  <c r="E161"/>
  <c r="C161"/>
  <c r="F114"/>
  <c r="E114"/>
  <c r="D114"/>
  <c r="C114"/>
  <c r="C99" i="22"/>
  <c r="C94"/>
  <c r="C93"/>
  <c r="F147" i="10"/>
  <c r="E147"/>
  <c r="C147"/>
  <c r="BF190" i="2"/>
  <c r="D102" i="9"/>
  <c r="D104"/>
  <c r="D190"/>
  <c r="Q102"/>
  <c r="Q104"/>
  <c r="BF192" i="2"/>
  <c r="I190" i="9"/>
  <c r="I192"/>
  <c r="AH102" i="17"/>
  <c r="AH104"/>
  <c r="AF102"/>
  <c r="AF104"/>
  <c r="AF190"/>
  <c r="AS102" i="21"/>
  <c r="AS104"/>
  <c r="AS190"/>
  <c r="AS192"/>
  <c r="AT102"/>
  <c r="AT104"/>
  <c r="AG102" i="17"/>
  <c r="AG104"/>
  <c r="AG190"/>
  <c r="E175" i="2"/>
  <c r="E186"/>
  <c r="BI186"/>
  <c r="BI188"/>
  <c r="BH102"/>
  <c r="BH104"/>
  <c r="E68"/>
  <c r="BG102"/>
  <c r="BG104"/>
  <c r="BD188"/>
  <c r="BB188"/>
  <c r="BC188"/>
  <c r="BE188"/>
  <c r="BA188"/>
  <c r="C188" i="22"/>
  <c r="G146" i="6"/>
  <c r="D159"/>
  <c r="G159"/>
  <c r="E99"/>
  <c r="D99"/>
  <c r="E94"/>
  <c r="D94"/>
  <c r="E93"/>
  <c r="D93"/>
  <c r="E88"/>
  <c r="D88"/>
  <c r="G14"/>
  <c r="H99" i="3"/>
  <c r="H94"/>
  <c r="H93"/>
  <c r="H88"/>
  <c r="H66"/>
  <c r="H49"/>
  <c r="H38"/>
  <c r="J134" i="7"/>
  <c r="E175"/>
  <c r="F148"/>
  <c r="E146"/>
  <c r="E126"/>
  <c r="F99"/>
  <c r="E99"/>
  <c r="F94"/>
  <c r="E94"/>
  <c r="F93"/>
  <c r="E31"/>
  <c r="D147" i="10"/>
  <c r="D161"/>
  <c r="F99"/>
  <c r="E99"/>
  <c r="AL99" i="17"/>
  <c r="D99" i="10"/>
  <c r="F94"/>
  <c r="E94"/>
  <c r="AL94" i="17"/>
  <c r="D94" i="10"/>
  <c r="F93"/>
  <c r="E93"/>
  <c r="D93"/>
  <c r="D192" i="9"/>
  <c r="Q190"/>
  <c r="Q192"/>
  <c r="AF192" i="17"/>
  <c r="AG192"/>
  <c r="H188" i="3"/>
  <c r="H191"/>
  <c r="H97"/>
  <c r="H98"/>
  <c r="H95"/>
  <c r="H96"/>
  <c r="H101"/>
  <c r="H99" i="7"/>
  <c r="G99"/>
  <c r="H94"/>
  <c r="G94"/>
  <c r="H93"/>
  <c r="G93"/>
  <c r="J93"/>
  <c r="J186"/>
  <c r="C191" i="22"/>
  <c r="A191"/>
  <c r="F109" i="5"/>
  <c r="C66" i="9"/>
  <c r="C49"/>
  <c r="C185"/>
  <c r="E184" i="17"/>
  <c r="D184"/>
  <c r="D184" i="21"/>
  <c r="H184" i="8"/>
  <c r="H184" i="11"/>
  <c r="R184" i="9"/>
  <c r="AO80" i="2"/>
  <c r="G161" i="21"/>
  <c r="G171"/>
  <c r="C161"/>
  <c r="G150" i="6"/>
  <c r="F149" i="2"/>
  <c r="D149"/>
  <c r="E149" i="17"/>
  <c r="D149"/>
  <c r="D149" i="21"/>
  <c r="H149" i="8"/>
  <c r="H149" i="11"/>
  <c r="F158"/>
  <c r="F171"/>
  <c r="F162" i="2"/>
  <c r="D162"/>
  <c r="F161"/>
  <c r="D161"/>
  <c r="F160"/>
  <c r="D160"/>
  <c r="E162" i="17"/>
  <c r="D162"/>
  <c r="E161"/>
  <c r="D161"/>
  <c r="E160"/>
  <c r="D160"/>
  <c r="D162" i="21"/>
  <c r="D161"/>
  <c r="D160"/>
  <c r="H162" i="8"/>
  <c r="H161"/>
  <c r="H160"/>
  <c r="H162" i="11"/>
  <c r="H161"/>
  <c r="H160"/>
  <c r="F139" i="2"/>
  <c r="D139"/>
  <c r="E139" i="17"/>
  <c r="D139"/>
  <c r="D139" i="21"/>
  <c r="C139" i="8"/>
  <c r="C139" i="11"/>
  <c r="D166"/>
  <c r="C163"/>
  <c r="C163" i="8"/>
  <c r="F163" i="2"/>
  <c r="D163"/>
  <c r="E163" i="17"/>
  <c r="D163"/>
  <c r="D163" i="21"/>
  <c r="F57" i="11"/>
  <c r="D57"/>
  <c r="F120" i="2"/>
  <c r="D120"/>
  <c r="E120" i="17"/>
  <c r="D120"/>
  <c r="D120" i="21"/>
  <c r="AZ120"/>
  <c r="I120" i="1"/>
  <c r="H120" i="8"/>
  <c r="H120" i="11"/>
  <c r="E138" i="8"/>
  <c r="C146" i="9"/>
  <c r="C137"/>
  <c r="D138" i="8"/>
  <c r="D146"/>
  <c r="F117"/>
  <c r="E117"/>
  <c r="F78"/>
  <c r="AU78" i="21"/>
  <c r="F79" i="8"/>
  <c r="AU79" i="21"/>
  <c r="AU80"/>
  <c r="AI78" i="17"/>
  <c r="AI79"/>
  <c r="F131" i="2"/>
  <c r="D131"/>
  <c r="E131" i="17"/>
  <c r="D131"/>
  <c r="D131" i="21"/>
  <c r="H131" i="11"/>
  <c r="C130" i="17"/>
  <c r="AI80"/>
  <c r="AI90"/>
  <c r="AU101" i="21"/>
  <c r="AU95"/>
  <c r="AU97"/>
  <c r="AU96"/>
  <c r="AU90"/>
  <c r="AU98"/>
  <c r="F120" i="5"/>
  <c r="BH120" i="2"/>
  <c r="BN120"/>
  <c r="C120" i="1"/>
  <c r="AN120" i="17"/>
  <c r="F120" i="1"/>
  <c r="F164" i="5"/>
  <c r="F171"/>
  <c r="C171"/>
  <c r="BH164" i="2"/>
  <c r="BH171"/>
  <c r="F122" i="5"/>
  <c r="C122"/>
  <c r="C188"/>
  <c r="BH109" i="2"/>
  <c r="C150" i="9"/>
  <c r="T137"/>
  <c r="L137" i="1"/>
  <c r="BN131" i="2"/>
  <c r="C131" i="1"/>
  <c r="AN131" i="17"/>
  <c r="F131" i="1"/>
  <c r="AZ131" i="21"/>
  <c r="I131" i="1"/>
  <c r="O131"/>
  <c r="BN163" i="2"/>
  <c r="C163" i="1"/>
  <c r="BN139" i="2"/>
  <c r="C139" i="1"/>
  <c r="BN160" i="2"/>
  <c r="C160" i="1"/>
  <c r="BN149" i="2"/>
  <c r="C149" i="1"/>
  <c r="AW164" i="21"/>
  <c r="AW158"/>
  <c r="AW57"/>
  <c r="AW66"/>
  <c r="BK57" i="2"/>
  <c r="BK66"/>
  <c r="BK158"/>
  <c r="BK186"/>
  <c r="BK164"/>
  <c r="BN162"/>
  <c r="C162" i="1"/>
  <c r="BN161" i="2"/>
  <c r="C161" i="1"/>
  <c r="AZ160" i="21"/>
  <c r="I160" i="1"/>
  <c r="AZ161" i="21"/>
  <c r="I161" i="1"/>
  <c r="AZ149" i="21"/>
  <c r="I149" i="1"/>
  <c r="AZ163" i="21"/>
  <c r="I163" i="1"/>
  <c r="AZ139" i="21"/>
  <c r="I139" i="1"/>
  <c r="AZ162" i="21"/>
  <c r="I162" i="1"/>
  <c r="AN162" i="17"/>
  <c r="F162" i="1"/>
  <c r="AN163" i="17"/>
  <c r="F163" i="1"/>
  <c r="AN139" i="17"/>
  <c r="F139" i="1"/>
  <c r="AN160" i="17"/>
  <c r="F160" i="1"/>
  <c r="C133" i="17"/>
  <c r="AN161"/>
  <c r="F161" i="1"/>
  <c r="AN149" i="17"/>
  <c r="F149" i="1"/>
  <c r="H163" i="11"/>
  <c r="H163" i="8"/>
  <c r="H139" i="11"/>
  <c r="H139" i="8"/>
  <c r="H131"/>
  <c r="F158" i="17"/>
  <c r="F171"/>
  <c r="C158"/>
  <c r="AG122" i="21"/>
  <c r="AF122"/>
  <c r="AD115"/>
  <c r="U84"/>
  <c r="U88"/>
  <c r="X88"/>
  <c r="Z88"/>
  <c r="AB88"/>
  <c r="AD84"/>
  <c r="AD88"/>
  <c r="AC84"/>
  <c r="AC88"/>
  <c r="C158"/>
  <c r="G170" i="3"/>
  <c r="G158"/>
  <c r="F158"/>
  <c r="E158"/>
  <c r="D158"/>
  <c r="C158"/>
  <c r="F146"/>
  <c r="E146"/>
  <c r="G93"/>
  <c r="F93"/>
  <c r="E93"/>
  <c r="C93"/>
  <c r="D146"/>
  <c r="D99"/>
  <c r="D94"/>
  <c r="D93"/>
  <c r="D88"/>
  <c r="D66"/>
  <c r="D49"/>
  <c r="D38"/>
  <c r="AU102" i="21"/>
  <c r="AU104"/>
  <c r="AU190"/>
  <c r="AU192"/>
  <c r="BH122" i="2"/>
  <c r="BH188"/>
  <c r="BH192"/>
  <c r="O120" i="1"/>
  <c r="O139"/>
  <c r="O149"/>
  <c r="O161"/>
  <c r="O160"/>
  <c r="O162"/>
  <c r="O163"/>
  <c r="F188" i="5"/>
  <c r="AH122" i="17"/>
  <c r="AH188"/>
  <c r="AH192"/>
  <c r="AW186" i="21"/>
  <c r="AW68"/>
  <c r="AW171"/>
  <c r="BK68" i="2"/>
  <c r="BK171"/>
  <c r="C171" i="21"/>
  <c r="AD122"/>
  <c r="E115"/>
  <c r="E122"/>
  <c r="C171" i="17"/>
  <c r="E57" i="11"/>
  <c r="AK154" i="17"/>
  <c r="E146" i="11"/>
  <c r="E99"/>
  <c r="E94"/>
  <c r="E93"/>
  <c r="E49"/>
  <c r="H13" i="8"/>
  <c r="E146"/>
  <c r="E126"/>
  <c r="E99"/>
  <c r="E94"/>
  <c r="E93"/>
  <c r="E88"/>
  <c r="E66"/>
  <c r="E49"/>
  <c r="E38"/>
  <c r="E7" i="17"/>
  <c r="D7"/>
  <c r="V80"/>
  <c r="V90"/>
  <c r="V99"/>
  <c r="V94"/>
  <c r="V93"/>
  <c r="X99"/>
  <c r="X94"/>
  <c r="X93"/>
  <c r="X84"/>
  <c r="X88"/>
  <c r="W171"/>
  <c r="W99"/>
  <c r="W94"/>
  <c r="W93"/>
  <c r="W84"/>
  <c r="W88"/>
  <c r="R99"/>
  <c r="R94"/>
  <c r="R93"/>
  <c r="R88"/>
  <c r="T99"/>
  <c r="T94"/>
  <c r="T93"/>
  <c r="T88"/>
  <c r="D7" i="2"/>
  <c r="E7" i="21"/>
  <c r="D7"/>
  <c r="AE93"/>
  <c r="AF93"/>
  <c r="AG93"/>
  <c r="BH190" i="2"/>
  <c r="AH190" i="17"/>
  <c r="AW188" i="21"/>
  <c r="AK57" i="17"/>
  <c r="AK66"/>
  <c r="AK158"/>
  <c r="AK164"/>
  <c r="AZ7" i="21"/>
  <c r="AI94" i="17"/>
  <c r="AI99"/>
  <c r="AN7"/>
  <c r="AK94"/>
  <c r="AK99"/>
  <c r="AK155"/>
  <c r="X188"/>
  <c r="R188"/>
  <c r="T188"/>
  <c r="V188"/>
  <c r="W188"/>
  <c r="D188" i="3"/>
  <c r="E68" i="8"/>
  <c r="E80"/>
  <c r="E90"/>
  <c r="V101" i="17"/>
  <c r="V97"/>
  <c r="V98"/>
  <c r="V95"/>
  <c r="V96"/>
  <c r="AG99" i="21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M99"/>
  <c r="L99"/>
  <c r="K99"/>
  <c r="J99"/>
  <c r="H99"/>
  <c r="G99"/>
  <c r="G99" i="3"/>
  <c r="F99"/>
  <c r="E99"/>
  <c r="C99"/>
  <c r="C99" i="4"/>
  <c r="G99"/>
  <c r="C99" i="5"/>
  <c r="F99"/>
  <c r="D99" i="7"/>
  <c r="J99"/>
  <c r="C99"/>
  <c r="F99" i="8"/>
  <c r="D99"/>
  <c r="C99"/>
  <c r="F99" i="11"/>
  <c r="D99"/>
  <c r="C99"/>
  <c r="C99" i="6"/>
  <c r="G99"/>
  <c r="C99" i="9"/>
  <c r="T99"/>
  <c r="L99" i="1"/>
  <c r="C99" i="10"/>
  <c r="AY99" i="2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H99"/>
  <c r="G99"/>
  <c r="Y99" i="17"/>
  <c r="U99"/>
  <c r="S99"/>
  <c r="Q99"/>
  <c r="P99"/>
  <c r="O99"/>
  <c r="N99"/>
  <c r="M99"/>
  <c r="L99"/>
  <c r="J99"/>
  <c r="I99"/>
  <c r="G99"/>
  <c r="F99"/>
  <c r="Y93"/>
  <c r="U93"/>
  <c r="S93"/>
  <c r="Q93"/>
  <c r="P93"/>
  <c r="O93"/>
  <c r="N93"/>
  <c r="M93"/>
  <c r="L93"/>
  <c r="J93"/>
  <c r="I93"/>
  <c r="G93"/>
  <c r="F93"/>
  <c r="AD93" i="21"/>
  <c r="AC93"/>
  <c r="AB93"/>
  <c r="AA93"/>
  <c r="Z93"/>
  <c r="Y93"/>
  <c r="X93"/>
  <c r="W93"/>
  <c r="V93"/>
  <c r="U93"/>
  <c r="T93"/>
  <c r="S93"/>
  <c r="R93"/>
  <c r="Q93"/>
  <c r="P93"/>
  <c r="O93"/>
  <c r="M93"/>
  <c r="L93"/>
  <c r="K93"/>
  <c r="J93"/>
  <c r="H93"/>
  <c r="G93"/>
  <c r="F93" i="8"/>
  <c r="D93"/>
  <c r="C93"/>
  <c r="F93" i="11"/>
  <c r="D93"/>
  <c r="C93"/>
  <c r="C93" i="6"/>
  <c r="G93"/>
  <c r="C93" i="9"/>
  <c r="T93"/>
  <c r="L93" i="1"/>
  <c r="C93" i="10"/>
  <c r="AY93" i="2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H93"/>
  <c r="G93"/>
  <c r="D87" i="21"/>
  <c r="C55"/>
  <c r="AK171" i="17"/>
  <c r="AK68"/>
  <c r="AK186"/>
  <c r="V102"/>
  <c r="V104"/>
  <c r="E93" i="21"/>
  <c r="AZ87"/>
  <c r="I87" i="1"/>
  <c r="E99" i="21"/>
  <c r="C66"/>
  <c r="E99" i="2"/>
  <c r="E93"/>
  <c r="E188" i="8"/>
  <c r="E188" i="11"/>
  <c r="E95" i="8"/>
  <c r="E98"/>
  <c r="AI98" i="17"/>
  <c r="E101" i="8"/>
  <c r="AI101" i="17"/>
  <c r="E96" i="8"/>
  <c r="AI96" i="17"/>
  <c r="E97" i="8"/>
  <c r="AI97" i="17"/>
  <c r="AF80" i="21"/>
  <c r="AF90"/>
  <c r="D185"/>
  <c r="D183"/>
  <c r="D116"/>
  <c r="D182"/>
  <c r="D181"/>
  <c r="D180"/>
  <c r="D179"/>
  <c r="D178"/>
  <c r="D177"/>
  <c r="D176"/>
  <c r="D119"/>
  <c r="D118"/>
  <c r="D100"/>
  <c r="D115"/>
  <c r="D170"/>
  <c r="D169"/>
  <c r="D168"/>
  <c r="D167"/>
  <c r="D166"/>
  <c r="D165"/>
  <c r="D164"/>
  <c r="D159"/>
  <c r="AZ159"/>
  <c r="I159" i="1"/>
  <c r="T171" i="21"/>
  <c r="S171"/>
  <c r="R171"/>
  <c r="Q171"/>
  <c r="P158"/>
  <c r="P171"/>
  <c r="O158"/>
  <c r="M158"/>
  <c r="M171"/>
  <c r="L171"/>
  <c r="K158"/>
  <c r="K171"/>
  <c r="J158"/>
  <c r="J171"/>
  <c r="D154"/>
  <c r="D148"/>
  <c r="C148"/>
  <c r="D147"/>
  <c r="H146"/>
  <c r="H150"/>
  <c r="G146"/>
  <c r="G150"/>
  <c r="D146"/>
  <c r="D145"/>
  <c r="D144"/>
  <c r="D140"/>
  <c r="AZ140"/>
  <c r="I140" i="1"/>
  <c r="D138" i="21"/>
  <c r="D137"/>
  <c r="D132"/>
  <c r="C132"/>
  <c r="D130"/>
  <c r="D129"/>
  <c r="D128"/>
  <c r="D127"/>
  <c r="D126"/>
  <c r="D125"/>
  <c r="D117"/>
  <c r="D121"/>
  <c r="D114"/>
  <c r="D113"/>
  <c r="D112"/>
  <c r="D111"/>
  <c r="D110"/>
  <c r="D109"/>
  <c r="D108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M94"/>
  <c r="L94"/>
  <c r="K94"/>
  <c r="J94"/>
  <c r="H94"/>
  <c r="G94"/>
  <c r="D93"/>
  <c r="D85"/>
  <c r="AE84"/>
  <c r="AE88"/>
  <c r="AA88"/>
  <c r="Y88"/>
  <c r="W88"/>
  <c r="V84"/>
  <c r="V88"/>
  <c r="T88"/>
  <c r="S88"/>
  <c r="R84"/>
  <c r="R88"/>
  <c r="Q88"/>
  <c r="P84"/>
  <c r="P88"/>
  <c r="O84"/>
  <c r="M84"/>
  <c r="M88"/>
  <c r="L88"/>
  <c r="K84"/>
  <c r="K88"/>
  <c r="J84"/>
  <c r="J88"/>
  <c r="D79"/>
  <c r="D78"/>
  <c r="D77"/>
  <c r="D76"/>
  <c r="D75"/>
  <c r="D72"/>
  <c r="D65"/>
  <c r="D64"/>
  <c r="D63"/>
  <c r="D62"/>
  <c r="D61"/>
  <c r="D60"/>
  <c r="D59"/>
  <c r="D58"/>
  <c r="D57"/>
  <c r="D56"/>
  <c r="D55"/>
  <c r="D54"/>
  <c r="D53"/>
  <c r="D48"/>
  <c r="D47"/>
  <c r="D46"/>
  <c r="D45"/>
  <c r="D44"/>
  <c r="D43"/>
  <c r="D42"/>
  <c r="D41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99"/>
  <c r="AI95" i="17"/>
  <c r="AI102"/>
  <c r="AI104"/>
  <c r="AI190"/>
  <c r="E102" i="8"/>
  <c r="V192" i="17"/>
  <c r="V190"/>
  <c r="AK188"/>
  <c r="D66" i="21"/>
  <c r="AZ33"/>
  <c r="I33" i="1"/>
  <c r="D38" i="21"/>
  <c r="AZ13"/>
  <c r="I13" i="1"/>
  <c r="AZ22" i="21"/>
  <c r="I22" i="1"/>
  <c r="AZ26" i="21"/>
  <c r="I26" i="1"/>
  <c r="AZ30" i="21"/>
  <c r="I30" i="1"/>
  <c r="AZ35" i="21"/>
  <c r="I35" i="1"/>
  <c r="AZ59" i="21"/>
  <c r="I59" i="1"/>
  <c r="AZ63" i="21"/>
  <c r="I63" i="1"/>
  <c r="AZ112" i="21"/>
  <c r="I112" i="1"/>
  <c r="AZ117" i="21"/>
  <c r="I117" i="1"/>
  <c r="AZ128" i="21"/>
  <c r="I128" i="1"/>
  <c r="AZ166" i="21"/>
  <c r="I166" i="1"/>
  <c r="AZ14" i="21"/>
  <c r="I14" i="1"/>
  <c r="AZ17" i="21"/>
  <c r="I17" i="1"/>
  <c r="AZ21" i="21"/>
  <c r="I21" i="1"/>
  <c r="AZ25" i="21"/>
  <c r="I25" i="1"/>
  <c r="AZ29" i="21"/>
  <c r="I29" i="1"/>
  <c r="AZ34" i="21"/>
  <c r="I34" i="1"/>
  <c r="AZ54" i="21"/>
  <c r="I54" i="1"/>
  <c r="AZ62" i="21"/>
  <c r="I62" i="1"/>
  <c r="AZ85" i="21"/>
  <c r="I85" i="1"/>
  <c r="AZ111" i="21"/>
  <c r="I111" i="1"/>
  <c r="AZ127" i="21"/>
  <c r="I127" i="1"/>
  <c r="C133" i="21"/>
  <c r="AZ132"/>
  <c r="I132" i="1"/>
  <c r="AZ169" i="21"/>
  <c r="I169" i="1"/>
  <c r="AZ118" i="21"/>
  <c r="I118" i="1"/>
  <c r="AZ178" i="21"/>
  <c r="I178" i="1"/>
  <c r="AZ182" i="21"/>
  <c r="I182" i="1"/>
  <c r="AZ41" i="21"/>
  <c r="I41" i="1"/>
  <c r="AZ19" i="21"/>
  <c r="I19" i="1"/>
  <c r="AZ23" i="21"/>
  <c r="I23" i="1"/>
  <c r="AZ27" i="21"/>
  <c r="I27" i="1"/>
  <c r="AZ31" i="21"/>
  <c r="I31" i="1"/>
  <c r="AZ36" i="21"/>
  <c r="I36" i="1"/>
  <c r="AZ42" i="21"/>
  <c r="I42" i="1"/>
  <c r="AZ46" i="21"/>
  <c r="I46" i="1"/>
  <c r="AZ56" i="21"/>
  <c r="I56" i="1"/>
  <c r="AZ60" i="21"/>
  <c r="I60" i="1"/>
  <c r="AZ64" i="21"/>
  <c r="I64" i="1"/>
  <c r="AZ79" i="21"/>
  <c r="I79" i="1"/>
  <c r="E94" i="21"/>
  <c r="AZ109"/>
  <c r="I109" i="1"/>
  <c r="AZ113" i="21"/>
  <c r="I113" i="1"/>
  <c r="AZ129" i="21"/>
  <c r="I129" i="1"/>
  <c r="D141" i="21"/>
  <c r="AZ137"/>
  <c r="I137" i="1"/>
  <c r="AZ145" i="21"/>
  <c r="I145" i="1"/>
  <c r="AZ147" i="21"/>
  <c r="I147" i="1"/>
  <c r="E158" i="21"/>
  <c r="E171"/>
  <c r="O171"/>
  <c r="O188"/>
  <c r="AZ167"/>
  <c r="I167" i="1"/>
  <c r="AZ115" i="21"/>
  <c r="I115" i="1"/>
  <c r="AZ176" i="21"/>
  <c r="I176" i="1"/>
  <c r="AZ180" i="21"/>
  <c r="I180" i="1"/>
  <c r="AZ183" i="21"/>
  <c r="I183" i="1"/>
  <c r="AZ53" i="21"/>
  <c r="I53" i="1"/>
  <c r="AZ15" i="21"/>
  <c r="I15" i="1"/>
  <c r="AZ18" i="21"/>
  <c r="I18" i="1"/>
  <c r="AZ45" i="21"/>
  <c r="I45" i="1"/>
  <c r="AZ138" i="21"/>
  <c r="I138" i="1"/>
  <c r="AZ170" i="21"/>
  <c r="I170" i="1"/>
  <c r="AZ119" i="21"/>
  <c r="I119" i="1"/>
  <c r="AZ179" i="21"/>
  <c r="I179" i="1"/>
  <c r="AZ116" i="21"/>
  <c r="I116" i="1"/>
  <c r="AZ55" i="21"/>
  <c r="I55" i="1"/>
  <c r="D49" i="21"/>
  <c r="AZ44"/>
  <c r="I44" i="1"/>
  <c r="AZ48" i="21"/>
  <c r="I48" i="1"/>
  <c r="D133" i="21"/>
  <c r="AZ125"/>
  <c r="I125" i="1"/>
  <c r="AZ165" i="21"/>
  <c r="I165" i="1"/>
  <c r="AZ16" i="21"/>
  <c r="I16" i="1"/>
  <c r="AZ20" i="21"/>
  <c r="I20" i="1"/>
  <c r="AZ24" i="21"/>
  <c r="I24" i="1"/>
  <c r="AZ28" i="21"/>
  <c r="I28" i="1"/>
  <c r="AZ32" i="21"/>
  <c r="I32" i="1"/>
  <c r="AZ37" i="21"/>
  <c r="I37" i="1"/>
  <c r="AZ43" i="21"/>
  <c r="I43" i="1"/>
  <c r="AZ47" i="21"/>
  <c r="I47" i="1"/>
  <c r="AZ57" i="21"/>
  <c r="I57" i="1"/>
  <c r="AZ61" i="21"/>
  <c r="I61" i="1"/>
  <c r="AZ65" i="21"/>
  <c r="I65" i="1"/>
  <c r="O88" i="21"/>
  <c r="E84"/>
  <c r="E88"/>
  <c r="D122"/>
  <c r="AZ108"/>
  <c r="I108" i="1"/>
  <c r="AZ110" i="21"/>
  <c r="I110" i="1"/>
  <c r="AZ114" i="21"/>
  <c r="I114" i="1"/>
  <c r="AZ126" i="21"/>
  <c r="I126" i="1"/>
  <c r="AZ130" i="21"/>
  <c r="I130" i="1"/>
  <c r="D150" i="21"/>
  <c r="AZ144"/>
  <c r="I144" i="1"/>
  <c r="C150" i="21"/>
  <c r="AZ148"/>
  <c r="I148" i="1"/>
  <c r="D155" i="21"/>
  <c r="AZ154"/>
  <c r="AZ164"/>
  <c r="I164" i="1"/>
  <c r="AZ168" i="21"/>
  <c r="I168" i="1"/>
  <c r="AZ100" i="21"/>
  <c r="I100" i="1"/>
  <c r="AZ177" i="21"/>
  <c r="I177" i="1"/>
  <c r="AZ181" i="21"/>
  <c r="I181" i="1"/>
  <c r="R188" i="21"/>
  <c r="V188"/>
  <c r="AB188"/>
  <c r="AF188"/>
  <c r="P188"/>
  <c r="H188"/>
  <c r="M188"/>
  <c r="U188"/>
  <c r="Y188"/>
  <c r="AE188"/>
  <c r="K188"/>
  <c r="AC188"/>
  <c r="X188"/>
  <c r="AD188"/>
  <c r="E104" i="8"/>
  <c r="E191"/>
  <c r="D94" i="21"/>
  <c r="AF98"/>
  <c r="AF97"/>
  <c r="AF96"/>
  <c r="AF95"/>
  <c r="AF101"/>
  <c r="D84"/>
  <c r="D158"/>
  <c r="D61" i="17"/>
  <c r="H85" i="8"/>
  <c r="D146" i="7"/>
  <c r="C146" i="8"/>
  <c r="H185"/>
  <c r="H183"/>
  <c r="H116"/>
  <c r="H182"/>
  <c r="H181"/>
  <c r="H180"/>
  <c r="H179"/>
  <c r="H178"/>
  <c r="H177"/>
  <c r="H176"/>
  <c r="H119"/>
  <c r="H118"/>
  <c r="H175"/>
  <c r="H100"/>
  <c r="H115"/>
  <c r="H170"/>
  <c r="H169"/>
  <c r="H168"/>
  <c r="H167"/>
  <c r="H166"/>
  <c r="H165"/>
  <c r="H164"/>
  <c r="H158"/>
  <c r="H154"/>
  <c r="H148"/>
  <c r="H147"/>
  <c r="H145"/>
  <c r="H144"/>
  <c r="H140"/>
  <c r="H138"/>
  <c r="H137"/>
  <c r="H129"/>
  <c r="H128"/>
  <c r="H127"/>
  <c r="H121"/>
  <c r="H113"/>
  <c r="H112"/>
  <c r="H111"/>
  <c r="H110"/>
  <c r="H109"/>
  <c r="H108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41"/>
  <c r="H42"/>
  <c r="H43"/>
  <c r="H44"/>
  <c r="H45"/>
  <c r="H46"/>
  <c r="H47"/>
  <c r="H48"/>
  <c r="H53"/>
  <c r="H54"/>
  <c r="H55"/>
  <c r="H56"/>
  <c r="H57"/>
  <c r="H58"/>
  <c r="H59"/>
  <c r="H60"/>
  <c r="H61"/>
  <c r="H62"/>
  <c r="H63"/>
  <c r="H64"/>
  <c r="H65"/>
  <c r="H73"/>
  <c r="H74"/>
  <c r="H75"/>
  <c r="H76"/>
  <c r="H77"/>
  <c r="H84"/>
  <c r="H86"/>
  <c r="H87"/>
  <c r="C94"/>
  <c r="C88"/>
  <c r="C66"/>
  <c r="C49"/>
  <c r="C38"/>
  <c r="F146"/>
  <c r="H132"/>
  <c r="F126"/>
  <c r="F94"/>
  <c r="F88"/>
  <c r="F66"/>
  <c r="F49"/>
  <c r="F38"/>
  <c r="H37" i="11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5"/>
  <c r="H14"/>
  <c r="H13"/>
  <c r="H48"/>
  <c r="H47"/>
  <c r="H46"/>
  <c r="H45"/>
  <c r="H44"/>
  <c r="H43"/>
  <c r="H42"/>
  <c r="H41"/>
  <c r="H65"/>
  <c r="H64"/>
  <c r="H63"/>
  <c r="H62"/>
  <c r="H61"/>
  <c r="H60"/>
  <c r="H59"/>
  <c r="H58"/>
  <c r="H56"/>
  <c r="H55"/>
  <c r="H54"/>
  <c r="H53"/>
  <c r="H79"/>
  <c r="H77"/>
  <c r="H76"/>
  <c r="H75"/>
  <c r="H74"/>
  <c r="H73"/>
  <c r="H87"/>
  <c r="H86"/>
  <c r="H84"/>
  <c r="H121"/>
  <c r="H114"/>
  <c r="H113"/>
  <c r="H112"/>
  <c r="H111"/>
  <c r="H110"/>
  <c r="H109"/>
  <c r="H108"/>
  <c r="H132"/>
  <c r="H130"/>
  <c r="H129"/>
  <c r="H128"/>
  <c r="H127"/>
  <c r="H126"/>
  <c r="H125"/>
  <c r="H117"/>
  <c r="H140"/>
  <c r="H138"/>
  <c r="H137"/>
  <c r="H148"/>
  <c r="H147"/>
  <c r="H145"/>
  <c r="H144"/>
  <c r="H170"/>
  <c r="H169"/>
  <c r="H168"/>
  <c r="H167"/>
  <c r="H159"/>
  <c r="H185"/>
  <c r="H183"/>
  <c r="H116"/>
  <c r="H182"/>
  <c r="H181"/>
  <c r="H180"/>
  <c r="H179"/>
  <c r="H178"/>
  <c r="H177"/>
  <c r="H176"/>
  <c r="H119"/>
  <c r="H118"/>
  <c r="H175"/>
  <c r="H100"/>
  <c r="H115"/>
  <c r="F154"/>
  <c r="D154"/>
  <c r="BK154" i="2"/>
  <c r="C146" i="11"/>
  <c r="C94"/>
  <c r="C66"/>
  <c r="C49"/>
  <c r="C38"/>
  <c r="H166"/>
  <c r="H165"/>
  <c r="H158"/>
  <c r="F146"/>
  <c r="F94"/>
  <c r="F49"/>
  <c r="D94" i="7"/>
  <c r="J94"/>
  <c r="C94"/>
  <c r="D94" i="11"/>
  <c r="C94" i="6"/>
  <c r="G94"/>
  <c r="C94" i="9"/>
  <c r="T94"/>
  <c r="L94" i="1"/>
  <c r="C94" i="10"/>
  <c r="G72" i="6"/>
  <c r="D94" i="8"/>
  <c r="D99" i="2"/>
  <c r="D179"/>
  <c r="F179"/>
  <c r="D179" i="17"/>
  <c r="E179"/>
  <c r="C97" i="5"/>
  <c r="F97"/>
  <c r="E115" i="17"/>
  <c r="D115"/>
  <c r="E185"/>
  <c r="E183"/>
  <c r="E116"/>
  <c r="E182"/>
  <c r="E181"/>
  <c r="E180"/>
  <c r="E178"/>
  <c r="E177"/>
  <c r="E176"/>
  <c r="E119"/>
  <c r="E118"/>
  <c r="E100"/>
  <c r="E170"/>
  <c r="E169"/>
  <c r="E168"/>
  <c r="E167"/>
  <c r="E166"/>
  <c r="E165"/>
  <c r="E164"/>
  <c r="E159"/>
  <c r="E154"/>
  <c r="E155"/>
  <c r="E148"/>
  <c r="E147"/>
  <c r="E146"/>
  <c r="E145"/>
  <c r="E144"/>
  <c r="E140"/>
  <c r="E138"/>
  <c r="E137"/>
  <c r="E132"/>
  <c r="E130"/>
  <c r="E129"/>
  <c r="E128"/>
  <c r="E127"/>
  <c r="E126"/>
  <c r="E125"/>
  <c r="E117"/>
  <c r="E121"/>
  <c r="E114"/>
  <c r="E113"/>
  <c r="E112"/>
  <c r="E111"/>
  <c r="E110"/>
  <c r="E109"/>
  <c r="E108"/>
  <c r="AI192"/>
  <c r="AX58" i="21"/>
  <c r="D175"/>
  <c r="D186"/>
  <c r="I150" i="1"/>
  <c r="I133"/>
  <c r="AZ155" i="21"/>
  <c r="I154" i="1"/>
  <c r="I155"/>
  <c r="I141"/>
  <c r="AN115" i="17"/>
  <c r="F115" i="1"/>
  <c r="C68" i="21"/>
  <c r="AZ150"/>
  <c r="BN179" i="2"/>
  <c r="C179" i="1"/>
  <c r="AN179" i="17"/>
  <c r="F179" i="1"/>
  <c r="O179"/>
  <c r="D88" i="21"/>
  <c r="AZ84"/>
  <c r="AZ141"/>
  <c r="D171"/>
  <c r="AZ158"/>
  <c r="AZ133"/>
  <c r="AZ38"/>
  <c r="AZ49"/>
  <c r="D68"/>
  <c r="AF102"/>
  <c r="AF104"/>
  <c r="AZ94"/>
  <c r="I94" i="1"/>
  <c r="AZ93" i="21"/>
  <c r="I93" i="1"/>
  <c r="AZ99" i="21"/>
  <c r="I99" i="1"/>
  <c r="E122" i="17"/>
  <c r="E141"/>
  <c r="E133"/>
  <c r="E150"/>
  <c r="J188" i="21"/>
  <c r="BK155" i="2"/>
  <c r="BK188"/>
  <c r="Q188" i="21"/>
  <c r="L188"/>
  <c r="F188"/>
  <c r="Z188"/>
  <c r="AA188"/>
  <c r="G188"/>
  <c r="T188"/>
  <c r="W188"/>
  <c r="S188"/>
  <c r="AG188"/>
  <c r="H94" i="11"/>
  <c r="H154"/>
  <c r="H93"/>
  <c r="H146"/>
  <c r="H93" i="8"/>
  <c r="H94"/>
  <c r="H146"/>
  <c r="H78"/>
  <c r="F68"/>
  <c r="H79"/>
  <c r="C68"/>
  <c r="F80"/>
  <c r="F97"/>
  <c r="C68" i="11"/>
  <c r="Y94" i="17"/>
  <c r="U94"/>
  <c r="S94"/>
  <c r="Q94"/>
  <c r="P94"/>
  <c r="O94"/>
  <c r="N94"/>
  <c r="M94"/>
  <c r="L94"/>
  <c r="J94"/>
  <c r="I94"/>
  <c r="G94"/>
  <c r="F94"/>
  <c r="G146"/>
  <c r="G150"/>
  <c r="E87"/>
  <c r="E85"/>
  <c r="E79"/>
  <c r="E78"/>
  <c r="E77"/>
  <c r="E76"/>
  <c r="E75"/>
  <c r="E72"/>
  <c r="E65"/>
  <c r="E64"/>
  <c r="E63"/>
  <c r="E62"/>
  <c r="E61"/>
  <c r="E60"/>
  <c r="E59"/>
  <c r="E58"/>
  <c r="E57"/>
  <c r="E56"/>
  <c r="E55"/>
  <c r="E54"/>
  <c r="E53"/>
  <c r="E48"/>
  <c r="E47"/>
  <c r="E46"/>
  <c r="E45"/>
  <c r="E44"/>
  <c r="E43"/>
  <c r="E42"/>
  <c r="E41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D13"/>
  <c r="Y84"/>
  <c r="Y88"/>
  <c r="S88"/>
  <c r="Q88"/>
  <c r="P88"/>
  <c r="O171"/>
  <c r="N171"/>
  <c r="M171"/>
  <c r="O84"/>
  <c r="O88"/>
  <c r="N84"/>
  <c r="N88"/>
  <c r="M84"/>
  <c r="M88"/>
  <c r="AY94" i="2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H94"/>
  <c r="G94"/>
  <c r="AJ84"/>
  <c r="AJ88"/>
  <c r="F90" i="8"/>
  <c r="AX66" i="21"/>
  <c r="AX68"/>
  <c r="AZ58"/>
  <c r="AZ88"/>
  <c r="I84" i="1"/>
  <c r="AZ171" i="21"/>
  <c r="I158" i="1"/>
  <c r="C186" i="21"/>
  <c r="C188"/>
  <c r="C190"/>
  <c r="C192"/>
  <c r="I175" i="1"/>
  <c r="E49" i="17"/>
  <c r="E66"/>
  <c r="E38"/>
  <c r="AN13"/>
  <c r="F13" i="1"/>
  <c r="AF192" i="21"/>
  <c r="E188"/>
  <c r="E94" i="2"/>
  <c r="F188" i="8"/>
  <c r="C188"/>
  <c r="C188" i="11"/>
  <c r="Q188" i="17"/>
  <c r="O188"/>
  <c r="S188"/>
  <c r="F188" i="11"/>
  <c r="D188" i="21"/>
  <c r="I38" i="1"/>
  <c r="I49"/>
  <c r="F95" i="8"/>
  <c r="C148" i="7"/>
  <c r="E66" i="11"/>
  <c r="E38"/>
  <c r="F98" i="8"/>
  <c r="F96"/>
  <c r="F101"/>
  <c r="E94" i="17"/>
  <c r="E93"/>
  <c r="H164" i="11"/>
  <c r="H171"/>
  <c r="D38"/>
  <c r="I58" i="1"/>
  <c r="I66"/>
  <c r="I68"/>
  <c r="AZ66" i="21"/>
  <c r="AZ68"/>
  <c r="I171" i="1"/>
  <c r="F102" i="8"/>
  <c r="J148" i="7"/>
  <c r="H148" i="9"/>
  <c r="C150" i="7"/>
  <c r="P188" i="17"/>
  <c r="E175"/>
  <c r="E68"/>
  <c r="Y188"/>
  <c r="N188"/>
  <c r="G188"/>
  <c r="M188"/>
  <c r="I88" i="1"/>
  <c r="E68" i="11"/>
  <c r="F104" i="8"/>
  <c r="F191"/>
  <c r="F38" i="11"/>
  <c r="H38"/>
  <c r="H16"/>
  <c r="F66"/>
  <c r="H57"/>
  <c r="H150" i="9"/>
  <c r="T148"/>
  <c r="J150" i="7"/>
  <c r="E186" i="17"/>
  <c r="F68" i="11"/>
  <c r="G94" i="3"/>
  <c r="F94"/>
  <c r="E94"/>
  <c r="C94"/>
  <c r="T150" i="9"/>
  <c r="L148" i="1"/>
  <c r="L150"/>
  <c r="C140" i="9"/>
  <c r="T140"/>
  <c r="C141"/>
  <c r="C68" i="17"/>
  <c r="C186"/>
  <c r="T141" i="9"/>
  <c r="L140" i="1"/>
  <c r="L141"/>
  <c r="T175" i="9"/>
  <c r="L175" i="1"/>
  <c r="U171" i="17"/>
  <c r="E99"/>
  <c r="U84"/>
  <c r="U88"/>
  <c r="E158"/>
  <c r="E171"/>
  <c r="E84"/>
  <c r="E88"/>
  <c r="U188"/>
  <c r="C154" i="7"/>
  <c r="D94" i="2"/>
  <c r="H25" i="15"/>
  <c r="H26"/>
  <c r="H27"/>
  <c r="H28"/>
  <c r="H29"/>
  <c r="H30"/>
  <c r="H31"/>
  <c r="H32"/>
  <c r="H33"/>
  <c r="D63" i="12"/>
  <c r="H28" i="13"/>
  <c r="H29"/>
  <c r="H30"/>
  <c r="H31"/>
  <c r="D13" i="2"/>
  <c r="F13"/>
  <c r="D14"/>
  <c r="F14"/>
  <c r="D15"/>
  <c r="BN15"/>
  <c r="C15" i="1"/>
  <c r="F15" i="2"/>
  <c r="D16"/>
  <c r="F16"/>
  <c r="D17"/>
  <c r="F17"/>
  <c r="D18"/>
  <c r="F18"/>
  <c r="D19"/>
  <c r="BN19"/>
  <c r="C19" i="1"/>
  <c r="F19" i="2"/>
  <c r="D20"/>
  <c r="F20"/>
  <c r="D14" i="17"/>
  <c r="D15"/>
  <c r="D16"/>
  <c r="D17"/>
  <c r="D18"/>
  <c r="D19"/>
  <c r="D20"/>
  <c r="H159" i="8"/>
  <c r="F146" i="17"/>
  <c r="F150"/>
  <c r="D21"/>
  <c r="D22"/>
  <c r="D23"/>
  <c r="D24"/>
  <c r="D25"/>
  <c r="D26"/>
  <c r="D27"/>
  <c r="D28"/>
  <c r="D29"/>
  <c r="D30"/>
  <c r="D31"/>
  <c r="D32"/>
  <c r="D33"/>
  <c r="D34"/>
  <c r="D35"/>
  <c r="D36"/>
  <c r="D37"/>
  <c r="D41"/>
  <c r="D42"/>
  <c r="AN42"/>
  <c r="F42" i="1"/>
  <c r="D43" i="17"/>
  <c r="D44"/>
  <c r="D45"/>
  <c r="D46"/>
  <c r="D47"/>
  <c r="D48"/>
  <c r="D53"/>
  <c r="D54"/>
  <c r="D55"/>
  <c r="D56"/>
  <c r="D57"/>
  <c r="D58"/>
  <c r="D59"/>
  <c r="D60"/>
  <c r="D62"/>
  <c r="D63"/>
  <c r="D64"/>
  <c r="D65"/>
  <c r="D72"/>
  <c r="D75"/>
  <c r="D76"/>
  <c r="D77"/>
  <c r="D78"/>
  <c r="D79"/>
  <c r="I84"/>
  <c r="I88"/>
  <c r="J84"/>
  <c r="J88"/>
  <c r="L84"/>
  <c r="L88"/>
  <c r="D85"/>
  <c r="D87"/>
  <c r="D108"/>
  <c r="D109"/>
  <c r="D110"/>
  <c r="D111"/>
  <c r="D112"/>
  <c r="D113"/>
  <c r="AN113"/>
  <c r="F113" i="1"/>
  <c r="D114" i="17"/>
  <c r="D121"/>
  <c r="D117"/>
  <c r="AN117"/>
  <c r="F117" i="1"/>
  <c r="D125" i="17"/>
  <c r="D126"/>
  <c r="D127"/>
  <c r="D128"/>
  <c r="D129"/>
  <c r="D130"/>
  <c r="D132"/>
  <c r="AN132"/>
  <c r="F132" i="1"/>
  <c r="D137" i="17"/>
  <c r="D138"/>
  <c r="D140"/>
  <c r="D144"/>
  <c r="D145"/>
  <c r="D146"/>
  <c r="D147"/>
  <c r="D148"/>
  <c r="D154"/>
  <c r="I171"/>
  <c r="J171"/>
  <c r="L171"/>
  <c r="D159"/>
  <c r="AN159"/>
  <c r="F159" i="1"/>
  <c r="D164" i="17"/>
  <c r="D165"/>
  <c r="D166"/>
  <c r="D167"/>
  <c r="D168"/>
  <c r="D169"/>
  <c r="D170"/>
  <c r="D100"/>
  <c r="D118"/>
  <c r="D119"/>
  <c r="D176"/>
  <c r="D177"/>
  <c r="D178"/>
  <c r="D180"/>
  <c r="D181"/>
  <c r="D182"/>
  <c r="D116"/>
  <c r="D183"/>
  <c r="D185"/>
  <c r="U171" i="2"/>
  <c r="U188"/>
  <c r="T171"/>
  <c r="T188"/>
  <c r="S171"/>
  <c r="S188"/>
  <c r="R171"/>
  <c r="R188"/>
  <c r="Q171"/>
  <c r="Q188"/>
  <c r="P171"/>
  <c r="P188"/>
  <c r="O171"/>
  <c r="O188"/>
  <c r="N171"/>
  <c r="N188"/>
  <c r="M171"/>
  <c r="M188"/>
  <c r="L171"/>
  <c r="L188"/>
  <c r="K171"/>
  <c r="K188"/>
  <c r="J171"/>
  <c r="J188"/>
  <c r="E7"/>
  <c r="H130" i="8"/>
  <c r="D126"/>
  <c r="D125"/>
  <c r="D117"/>
  <c r="AM84" i="2"/>
  <c r="AM88"/>
  <c r="AL84"/>
  <c r="AL88"/>
  <c r="AY84"/>
  <c r="AY88"/>
  <c r="AX84"/>
  <c r="AX88"/>
  <c r="AW84"/>
  <c r="AW88"/>
  <c r="AV84"/>
  <c r="AV88"/>
  <c r="AU84"/>
  <c r="AU88"/>
  <c r="AT84"/>
  <c r="AT88"/>
  <c r="AS84"/>
  <c r="AS88"/>
  <c r="AR84"/>
  <c r="AR88"/>
  <c r="AQ84"/>
  <c r="AQ88"/>
  <c r="AO84"/>
  <c r="AO88"/>
  <c r="AO90"/>
  <c r="AN84"/>
  <c r="AN88"/>
  <c r="AK84"/>
  <c r="AK88"/>
  <c r="AI84"/>
  <c r="AI88"/>
  <c r="AH84"/>
  <c r="AH88"/>
  <c r="AG84"/>
  <c r="AG88"/>
  <c r="AF84"/>
  <c r="AF88"/>
  <c r="AE84"/>
  <c r="AE88"/>
  <c r="AD84"/>
  <c r="AD88"/>
  <c r="AC84"/>
  <c r="AC88"/>
  <c r="AB84"/>
  <c r="AB88"/>
  <c r="Z84"/>
  <c r="Z88"/>
  <c r="Y84"/>
  <c r="Y88"/>
  <c r="AA84"/>
  <c r="AA88"/>
  <c r="V84"/>
  <c r="V88"/>
  <c r="X84"/>
  <c r="X88"/>
  <c r="W84"/>
  <c r="W88"/>
  <c r="U84"/>
  <c r="U88"/>
  <c r="T84"/>
  <c r="T88"/>
  <c r="S84"/>
  <c r="S88"/>
  <c r="R84"/>
  <c r="R88"/>
  <c r="Q84"/>
  <c r="Q88"/>
  <c r="P84"/>
  <c r="P88"/>
  <c r="O84"/>
  <c r="O88"/>
  <c r="N84"/>
  <c r="N88"/>
  <c r="M84"/>
  <c r="M88"/>
  <c r="L84"/>
  <c r="L88"/>
  <c r="K84"/>
  <c r="K88"/>
  <c r="J84"/>
  <c r="J88"/>
  <c r="G158"/>
  <c r="C42"/>
  <c r="H146"/>
  <c r="H150"/>
  <c r="H188"/>
  <c r="G146"/>
  <c r="G150"/>
  <c r="C148"/>
  <c r="G169" i="3"/>
  <c r="C110" i="7"/>
  <c r="D23" i="2"/>
  <c r="D25"/>
  <c r="D29"/>
  <c r="D30"/>
  <c r="D31"/>
  <c r="BN31"/>
  <c r="C31" i="1"/>
  <c r="D32" i="2"/>
  <c r="D34"/>
  <c r="F23"/>
  <c r="F25"/>
  <c r="F29"/>
  <c r="F30"/>
  <c r="F31"/>
  <c r="F32"/>
  <c r="F34"/>
  <c r="D114" i="8"/>
  <c r="C121" i="4"/>
  <c r="D121" i="2"/>
  <c r="F121"/>
  <c r="D53"/>
  <c r="BN53"/>
  <c r="C53" i="1"/>
  <c r="D54" i="2"/>
  <c r="D55"/>
  <c r="D56"/>
  <c r="D57"/>
  <c r="BN57"/>
  <c r="C57" i="1"/>
  <c r="D58" i="2"/>
  <c r="D59"/>
  <c r="D60"/>
  <c r="D61"/>
  <c r="BN61"/>
  <c r="C61" i="1"/>
  <c r="D62" i="2"/>
  <c r="D63"/>
  <c r="D64"/>
  <c r="D65"/>
  <c r="BN65"/>
  <c r="C65" i="1"/>
  <c r="D41" i="2"/>
  <c r="D42"/>
  <c r="D43"/>
  <c r="D44"/>
  <c r="BN44"/>
  <c r="C44" i="1"/>
  <c r="D45" i="2"/>
  <c r="D46"/>
  <c r="D47"/>
  <c r="D48"/>
  <c r="BN48"/>
  <c r="C48" i="1"/>
  <c r="D21" i="2"/>
  <c r="D22"/>
  <c r="D24"/>
  <c r="D26"/>
  <c r="BN26"/>
  <c r="C26" i="1"/>
  <c r="D27" i="2"/>
  <c r="D28"/>
  <c r="D33"/>
  <c r="D35"/>
  <c r="BN35"/>
  <c r="C35" i="1"/>
  <c r="D36" i="2"/>
  <c r="D37"/>
  <c r="F53"/>
  <c r="F54"/>
  <c r="F55"/>
  <c r="F56"/>
  <c r="F57"/>
  <c r="F58"/>
  <c r="F59"/>
  <c r="F60"/>
  <c r="F61"/>
  <c r="F62"/>
  <c r="F63"/>
  <c r="F64"/>
  <c r="F65"/>
  <c r="F41"/>
  <c r="F42"/>
  <c r="F43"/>
  <c r="F44"/>
  <c r="F45"/>
  <c r="F46"/>
  <c r="F47"/>
  <c r="F48"/>
  <c r="F21"/>
  <c r="F22"/>
  <c r="F24"/>
  <c r="F26"/>
  <c r="F27"/>
  <c r="F28"/>
  <c r="F33"/>
  <c r="F35"/>
  <c r="F36"/>
  <c r="F37"/>
  <c r="C132"/>
  <c r="C158"/>
  <c r="H99" i="11"/>
  <c r="D88" i="8"/>
  <c r="H88"/>
  <c r="H99"/>
  <c r="C88" i="6"/>
  <c r="G88"/>
  <c r="C88" i="7"/>
  <c r="G88" i="3"/>
  <c r="F88"/>
  <c r="E88"/>
  <c r="C88"/>
  <c r="F72" i="2"/>
  <c r="F74"/>
  <c r="F75"/>
  <c r="F76"/>
  <c r="F77"/>
  <c r="F78"/>
  <c r="F79"/>
  <c r="F85"/>
  <c r="F87"/>
  <c r="F7"/>
  <c r="F185"/>
  <c r="D185"/>
  <c r="F183"/>
  <c r="D183"/>
  <c r="F116"/>
  <c r="D116"/>
  <c r="BN116"/>
  <c r="C116" i="1"/>
  <c r="F182" i="2"/>
  <c r="D182"/>
  <c r="F181"/>
  <c r="D181"/>
  <c r="BN181"/>
  <c r="C181" i="1"/>
  <c r="F180" i="2"/>
  <c r="D180"/>
  <c r="F178"/>
  <c r="D178"/>
  <c r="BN178"/>
  <c r="C178" i="1"/>
  <c r="F177" i="2"/>
  <c r="D177"/>
  <c r="F176"/>
  <c r="D176"/>
  <c r="BN176"/>
  <c r="C176" i="1"/>
  <c r="F119" i="2"/>
  <c r="D119"/>
  <c r="F118"/>
  <c r="D118"/>
  <c r="BN118"/>
  <c r="C118" i="1"/>
  <c r="F100" i="2"/>
  <c r="D100"/>
  <c r="F115"/>
  <c r="D115"/>
  <c r="BN115"/>
  <c r="C115" i="1"/>
  <c r="O115"/>
  <c r="F170" i="2"/>
  <c r="D170"/>
  <c r="F169"/>
  <c r="D169"/>
  <c r="BN169"/>
  <c r="C169" i="1"/>
  <c r="F168" i="2"/>
  <c r="D168"/>
  <c r="F167"/>
  <c r="D167"/>
  <c r="BN167"/>
  <c r="C167" i="1"/>
  <c r="F166" i="2"/>
  <c r="D166"/>
  <c r="F165"/>
  <c r="D165"/>
  <c r="BN165"/>
  <c r="C165" i="1"/>
  <c r="F164" i="2"/>
  <c r="D164"/>
  <c r="F159"/>
  <c r="D159"/>
  <c r="BN159"/>
  <c r="C159" i="1"/>
  <c r="F158" i="2"/>
  <c r="F154"/>
  <c r="F155"/>
  <c r="D154"/>
  <c r="F148"/>
  <c r="D148"/>
  <c r="F147"/>
  <c r="D147"/>
  <c r="F146"/>
  <c r="D146"/>
  <c r="F145"/>
  <c r="D145"/>
  <c r="F144"/>
  <c r="D144"/>
  <c r="BN144"/>
  <c r="C144" i="1"/>
  <c r="F140" i="2"/>
  <c r="D140"/>
  <c r="F138"/>
  <c r="D138"/>
  <c r="BN138"/>
  <c r="C138" i="1"/>
  <c r="F137" i="2"/>
  <c r="D137"/>
  <c r="F132"/>
  <c r="D132"/>
  <c r="F130"/>
  <c r="D130"/>
  <c r="F129"/>
  <c r="D129"/>
  <c r="BN129"/>
  <c r="C129" i="1"/>
  <c r="F128" i="2"/>
  <c r="D128"/>
  <c r="F127"/>
  <c r="D127"/>
  <c r="BN127"/>
  <c r="C127" i="1"/>
  <c r="F126" i="2"/>
  <c r="D126"/>
  <c r="F125"/>
  <c r="D125"/>
  <c r="BN125"/>
  <c r="C125" i="1"/>
  <c r="F117" i="2"/>
  <c r="D117"/>
  <c r="F114"/>
  <c r="D114"/>
  <c r="BN114"/>
  <c r="C114" i="1"/>
  <c r="F113" i="2"/>
  <c r="D113"/>
  <c r="F112"/>
  <c r="D112"/>
  <c r="BN112"/>
  <c r="C112" i="1"/>
  <c r="F111" i="2"/>
  <c r="D111"/>
  <c r="F110"/>
  <c r="D110"/>
  <c r="BN110"/>
  <c r="C110" i="1"/>
  <c r="F109" i="2"/>
  <c r="D109"/>
  <c r="F108"/>
  <c r="D108"/>
  <c r="BN108"/>
  <c r="C108" i="1"/>
  <c r="D87" i="2"/>
  <c r="D85"/>
  <c r="D79"/>
  <c r="BN79"/>
  <c r="C79" i="1"/>
  <c r="D78" i="2"/>
  <c r="D77"/>
  <c r="D76"/>
  <c r="D75"/>
  <c r="D72"/>
  <c r="D4" i="12"/>
  <c r="D5"/>
  <c r="D6"/>
  <c r="B18"/>
  <c r="B33"/>
  <c r="D19"/>
  <c r="D34"/>
  <c r="D48"/>
  <c r="D78"/>
  <c r="D79"/>
  <c r="F78"/>
  <c r="H78"/>
  <c r="J78"/>
  <c r="D98"/>
  <c r="F98"/>
  <c r="D112"/>
  <c r="F112"/>
  <c r="H112"/>
  <c r="J112"/>
  <c r="D113"/>
  <c r="D114"/>
  <c r="D115"/>
  <c r="D116"/>
  <c r="D4" i="13"/>
  <c r="D5"/>
  <c r="D6"/>
  <c r="D7"/>
  <c r="D8"/>
  <c r="D9"/>
  <c r="D10"/>
  <c r="D11"/>
  <c r="D12"/>
  <c r="D13"/>
  <c r="D15"/>
  <c r="D16"/>
  <c r="D17"/>
  <c r="D18"/>
  <c r="D27"/>
  <c r="F27"/>
  <c r="D42"/>
  <c r="F42"/>
  <c r="D57"/>
  <c r="D82"/>
  <c r="D83"/>
  <c r="F82"/>
  <c r="H82"/>
  <c r="H83"/>
  <c r="H84"/>
  <c r="H85"/>
  <c r="H86"/>
  <c r="H87"/>
  <c r="H88"/>
  <c r="H89"/>
  <c r="H90"/>
  <c r="D106"/>
  <c r="D107"/>
  <c r="H106"/>
  <c r="D4" i="14"/>
  <c r="D19"/>
  <c r="F19"/>
  <c r="H19"/>
  <c r="D20"/>
  <c r="D21"/>
  <c r="G80" i="17"/>
  <c r="D40" i="14"/>
  <c r="AX80" i="2"/>
  <c r="AX90"/>
  <c r="D41" i="14"/>
  <c r="D65"/>
  <c r="D66"/>
  <c r="D67"/>
  <c r="D80"/>
  <c r="D120"/>
  <c r="D121"/>
  <c r="D122"/>
  <c r="D123"/>
  <c r="D124"/>
  <c r="D125"/>
  <c r="D126"/>
  <c r="D127"/>
  <c r="D128"/>
  <c r="D129"/>
  <c r="F120"/>
  <c r="H120"/>
  <c r="J120"/>
  <c r="D163"/>
  <c r="F163"/>
  <c r="H163"/>
  <c r="J163"/>
  <c r="B3" i="15"/>
  <c r="B3" i="13"/>
  <c r="D4" i="15"/>
  <c r="F24"/>
  <c r="D39"/>
  <c r="D53"/>
  <c r="H53"/>
  <c r="H54"/>
  <c r="H55"/>
  <c r="H56"/>
  <c r="H57"/>
  <c r="H58"/>
  <c r="H59"/>
  <c r="H60"/>
  <c r="H61"/>
  <c r="H62"/>
  <c r="G66" i="6"/>
  <c r="G38"/>
  <c r="G133"/>
  <c r="G141"/>
  <c r="G171"/>
  <c r="D66" i="8"/>
  <c r="H66"/>
  <c r="D38"/>
  <c r="H38"/>
  <c r="H141"/>
  <c r="C66" i="7"/>
  <c r="C38"/>
  <c r="G66" i="3"/>
  <c r="G49"/>
  <c r="G38"/>
  <c r="F66"/>
  <c r="F49"/>
  <c r="F38"/>
  <c r="E66"/>
  <c r="E49"/>
  <c r="E38"/>
  <c r="C66"/>
  <c r="C38"/>
  <c r="D5" i="14"/>
  <c r="D25" i="15"/>
  <c r="F25"/>
  <c r="D99" i="12"/>
  <c r="D100"/>
  <c r="D101"/>
  <c r="D102"/>
  <c r="D103"/>
  <c r="D104"/>
  <c r="D105"/>
  <c r="F34"/>
  <c r="D35"/>
  <c r="D36"/>
  <c r="D37"/>
  <c r="G77" i="23"/>
  <c r="F4" i="12"/>
  <c r="H4"/>
  <c r="H5"/>
  <c r="H6"/>
  <c r="H7"/>
  <c r="H8"/>
  <c r="H9"/>
  <c r="H10"/>
  <c r="H11"/>
  <c r="H12"/>
  <c r="H13"/>
  <c r="D7"/>
  <c r="D8"/>
  <c r="D9"/>
  <c r="D10"/>
  <c r="H98"/>
  <c r="F99"/>
  <c r="G49" i="6"/>
  <c r="D49" i="11"/>
  <c r="H49"/>
  <c r="C49" i="7"/>
  <c r="C49" i="3"/>
  <c r="D49" i="8"/>
  <c r="H49"/>
  <c r="F63" i="12"/>
  <c r="H63"/>
  <c r="J63"/>
  <c r="D64"/>
  <c r="D65"/>
  <c r="F64"/>
  <c r="F65"/>
  <c r="H65"/>
  <c r="J65"/>
  <c r="G78" i="23"/>
  <c r="K78"/>
  <c r="D66" i="12"/>
  <c r="G70" i="23"/>
  <c r="D21" i="13"/>
  <c r="D19"/>
  <c r="D20"/>
  <c r="BN20" i="2"/>
  <c r="C20" i="1"/>
  <c r="BN16" i="2"/>
  <c r="C16" i="1"/>
  <c r="BN23" i="2"/>
  <c r="C23" i="1"/>
  <c r="BN87" i="2"/>
  <c r="C87" i="1"/>
  <c r="O159"/>
  <c r="D84" i="13"/>
  <c r="D85"/>
  <c r="D81" i="14"/>
  <c r="S74" i="17"/>
  <c r="Q74"/>
  <c r="O74"/>
  <c r="N74"/>
  <c r="M74"/>
  <c r="AV73" i="2"/>
  <c r="AV80"/>
  <c r="AV90"/>
  <c r="D134" i="14"/>
  <c r="D82"/>
  <c r="J74" i="17"/>
  <c r="G90"/>
  <c r="G97"/>
  <c r="G101"/>
  <c r="G95"/>
  <c r="G96"/>
  <c r="G98"/>
  <c r="X73" i="2"/>
  <c r="AQ80"/>
  <c r="AQ90"/>
  <c r="G121" i="4"/>
  <c r="G122"/>
  <c r="G188"/>
  <c r="C122"/>
  <c r="BG122" i="2"/>
  <c r="BG188"/>
  <c r="T154" i="9"/>
  <c r="C155"/>
  <c r="BN42" i="2"/>
  <c r="C42" i="1"/>
  <c r="O42"/>
  <c r="BN33" i="2"/>
  <c r="C33" i="1"/>
  <c r="BN24" i="2"/>
  <c r="C24" i="1"/>
  <c r="BN47" i="2"/>
  <c r="C47" i="1"/>
  <c r="BN43" i="2"/>
  <c r="C43" i="1"/>
  <c r="BN64" i="2"/>
  <c r="C64" i="1"/>
  <c r="BN60" i="2"/>
  <c r="C60" i="1"/>
  <c r="BN56" i="2"/>
  <c r="C56" i="1"/>
  <c r="BN30" i="2"/>
  <c r="C30" i="1"/>
  <c r="BN109" i="2"/>
  <c r="C109" i="1"/>
  <c r="BN111" i="2"/>
  <c r="C111" i="1"/>
  <c r="BN113" i="2"/>
  <c r="C113" i="1"/>
  <c r="O113"/>
  <c r="BN117" i="2"/>
  <c r="C117" i="1"/>
  <c r="O117"/>
  <c r="BN126" i="2"/>
  <c r="C126" i="1"/>
  <c r="BN128" i="2"/>
  <c r="C128" i="1"/>
  <c r="BN130" i="2"/>
  <c r="C130" i="1"/>
  <c r="BN137" i="2"/>
  <c r="BN140"/>
  <c r="C140" i="1"/>
  <c r="BN145" i="2"/>
  <c r="C145" i="1"/>
  <c r="BN147" i="2"/>
  <c r="C147" i="1"/>
  <c r="BN154" i="2"/>
  <c r="BN37"/>
  <c r="C37" i="1"/>
  <c r="BN28" i="2"/>
  <c r="C28" i="1"/>
  <c r="BN22" i="2"/>
  <c r="C22" i="1"/>
  <c r="BN46" i="2"/>
  <c r="C46" i="1"/>
  <c r="BN63" i="2"/>
  <c r="C63" i="1"/>
  <c r="BN59" i="2"/>
  <c r="C59" i="1"/>
  <c r="BN55" i="2"/>
  <c r="C55" i="1"/>
  <c r="BN34" i="2"/>
  <c r="C34" i="1"/>
  <c r="BN29" i="2"/>
  <c r="C29" i="1"/>
  <c r="BN132" i="2"/>
  <c r="C132" i="1"/>
  <c r="O132"/>
  <c r="BN13" i="2"/>
  <c r="C13" i="1"/>
  <c r="O13"/>
  <c r="BN85" i="2"/>
  <c r="C85" i="1"/>
  <c r="BN148" i="2"/>
  <c r="C148" i="1"/>
  <c r="BN17" i="2"/>
  <c r="C17" i="1"/>
  <c r="BN164" i="2"/>
  <c r="C164" i="1"/>
  <c r="BN166" i="2"/>
  <c r="C166" i="1"/>
  <c r="BN168" i="2"/>
  <c r="C168" i="1"/>
  <c r="BN170" i="2"/>
  <c r="C170" i="1"/>
  <c r="BN100" i="2"/>
  <c r="C100" i="1"/>
  <c r="BN119" i="2"/>
  <c r="C119" i="1"/>
  <c r="BN177" i="2"/>
  <c r="C177" i="1"/>
  <c r="BN180" i="2"/>
  <c r="C180" i="1"/>
  <c r="BN182" i="2"/>
  <c r="C182" i="1"/>
  <c r="BN183" i="2"/>
  <c r="C183" i="1"/>
  <c r="BN36" i="2"/>
  <c r="C36" i="1"/>
  <c r="BN27" i="2"/>
  <c r="C27" i="1"/>
  <c r="BN21" i="2"/>
  <c r="C21" i="1"/>
  <c r="BN45" i="2"/>
  <c r="C45" i="1"/>
  <c r="BN41" i="2"/>
  <c r="C41" i="1"/>
  <c r="BN62" i="2"/>
  <c r="C62" i="1"/>
  <c r="BN54" i="2"/>
  <c r="C54" i="1"/>
  <c r="BN32" i="2"/>
  <c r="C32" i="1"/>
  <c r="BN25" i="2"/>
  <c r="C25" i="1"/>
  <c r="BN7" i="2"/>
  <c r="BN18"/>
  <c r="C18" i="1"/>
  <c r="BN14" i="2"/>
  <c r="C14" i="1"/>
  <c r="AN176" i="17"/>
  <c r="F176" i="1"/>
  <c r="O176"/>
  <c r="AN164" i="17"/>
  <c r="F164" i="1"/>
  <c r="D141" i="17"/>
  <c r="AN137"/>
  <c r="F137" i="1"/>
  <c r="AN110" i="17"/>
  <c r="F110" i="1"/>
  <c r="O110"/>
  <c r="AN87" i="17"/>
  <c r="F87" i="1"/>
  <c r="O87"/>
  <c r="AN59" i="17"/>
  <c r="F59" i="1"/>
  <c r="AN46" i="17"/>
  <c r="F46" i="1"/>
  <c r="AN15" i="17"/>
  <c r="F15" i="1"/>
  <c r="O15"/>
  <c r="AN116" i="17"/>
  <c r="F116" i="1"/>
  <c r="O116"/>
  <c r="AN178" i="17"/>
  <c r="F178" i="1"/>
  <c r="O178"/>
  <c r="AN118" i="17"/>
  <c r="F118" i="1"/>
  <c r="O118"/>
  <c r="AN170" i="17"/>
  <c r="F170" i="1"/>
  <c r="AN166" i="17"/>
  <c r="F166" i="1"/>
  <c r="AN148" i="17"/>
  <c r="F148" i="1"/>
  <c r="AN144" i="17"/>
  <c r="F144" i="1"/>
  <c r="O144"/>
  <c r="D150" i="17"/>
  <c r="AN140"/>
  <c r="F140" i="1"/>
  <c r="AN129" i="17"/>
  <c r="F129" i="1"/>
  <c r="O129"/>
  <c r="AN125" i="17"/>
  <c r="F125" i="1"/>
  <c r="O125"/>
  <c r="D133" i="17"/>
  <c r="AN112"/>
  <c r="F112" i="1"/>
  <c r="O112"/>
  <c r="AN108" i="17"/>
  <c r="F108" i="1"/>
  <c r="O108"/>
  <c r="D122" i="17"/>
  <c r="AN65"/>
  <c r="F65" i="1"/>
  <c r="O65"/>
  <c r="AN57" i="17"/>
  <c r="F57" i="1"/>
  <c r="O57"/>
  <c r="D66" i="17"/>
  <c r="AN53"/>
  <c r="F53" i="1"/>
  <c r="O53"/>
  <c r="AN48" i="17"/>
  <c r="F48" i="1"/>
  <c r="O48"/>
  <c r="AN44" i="17"/>
  <c r="F44" i="1"/>
  <c r="O44"/>
  <c r="AN36" i="17"/>
  <c r="F36" i="1"/>
  <c r="AN32" i="17"/>
  <c r="F32" i="1"/>
  <c r="AN28" i="17"/>
  <c r="F28" i="1"/>
  <c r="AN24" i="17"/>
  <c r="F24" i="1"/>
  <c r="AN17" i="17"/>
  <c r="F17" i="1"/>
  <c r="AN182" i="17"/>
  <c r="F182" i="1"/>
  <c r="AN177" i="17"/>
  <c r="F177" i="1"/>
  <c r="AN169" i="17"/>
  <c r="F169" i="1"/>
  <c r="AN165" i="17"/>
  <c r="F165" i="1"/>
  <c r="AN147" i="17"/>
  <c r="F147" i="1"/>
  <c r="AN138" i="17"/>
  <c r="F138" i="1"/>
  <c r="O138"/>
  <c r="AN128" i="17"/>
  <c r="F128" i="1"/>
  <c r="AN121" i="17"/>
  <c r="F121" i="1"/>
  <c r="AN111" i="17"/>
  <c r="F111" i="1"/>
  <c r="AN77" i="17"/>
  <c r="F77" i="1"/>
  <c r="AN64" i="17"/>
  <c r="F64" i="1"/>
  <c r="AN60" i="17"/>
  <c r="F60" i="1"/>
  <c r="AN56" i="17"/>
  <c r="F56" i="1"/>
  <c r="AN47" i="17"/>
  <c r="F47" i="1"/>
  <c r="AN43" i="17"/>
  <c r="F43" i="1"/>
  <c r="AN35" i="17"/>
  <c r="F35" i="1"/>
  <c r="O35"/>
  <c r="AN31" i="17"/>
  <c r="F31" i="1"/>
  <c r="O31"/>
  <c r="AN27" i="17"/>
  <c r="F27" i="1"/>
  <c r="AN23" i="17"/>
  <c r="F23" i="1"/>
  <c r="O23"/>
  <c r="AN20" i="17"/>
  <c r="F20" i="1"/>
  <c r="AN16" i="17"/>
  <c r="F16" i="1"/>
  <c r="AN181" i="17"/>
  <c r="F181" i="1"/>
  <c r="O181"/>
  <c r="AN100" i="17"/>
  <c r="F100" i="1"/>
  <c r="AN168" i="17"/>
  <c r="F168" i="1"/>
  <c r="AN127" i="17"/>
  <c r="F127" i="1"/>
  <c r="O127"/>
  <c r="AN114" i="17"/>
  <c r="F114" i="1"/>
  <c r="O114"/>
  <c r="AN63" i="17"/>
  <c r="F63" i="1"/>
  <c r="AN55" i="17"/>
  <c r="F55" i="1"/>
  <c r="AN34" i="17"/>
  <c r="F34" i="1"/>
  <c r="AN30" i="17"/>
  <c r="F30" i="1"/>
  <c r="AN26" i="17"/>
  <c r="F26" i="1"/>
  <c r="O26"/>
  <c r="AN22" i="17"/>
  <c r="F22" i="1"/>
  <c r="AN19" i="17"/>
  <c r="F19" i="1"/>
  <c r="O19"/>
  <c r="AN183" i="17"/>
  <c r="F183" i="1"/>
  <c r="AN180" i="17"/>
  <c r="F180" i="1"/>
  <c r="AN119" i="17"/>
  <c r="F119" i="1"/>
  <c r="AN167" i="17"/>
  <c r="F167" i="1"/>
  <c r="AN154" i="17"/>
  <c r="D155"/>
  <c r="AN145"/>
  <c r="F145" i="1"/>
  <c r="AN130" i="17"/>
  <c r="F130" i="1"/>
  <c r="AN126" i="17"/>
  <c r="F126" i="1"/>
  <c r="AN109" i="17"/>
  <c r="F109" i="1"/>
  <c r="AN85" i="17"/>
  <c r="F85" i="1"/>
  <c r="AN79" i="17"/>
  <c r="F79" i="1"/>
  <c r="O79"/>
  <c r="AN62" i="17"/>
  <c r="F62" i="1"/>
  <c r="AN54" i="17"/>
  <c r="F54" i="1"/>
  <c r="AN45" i="17"/>
  <c r="F45" i="1"/>
  <c r="D49" i="17"/>
  <c r="AN41"/>
  <c r="F41" i="1"/>
  <c r="AN37" i="17"/>
  <c r="F37" i="1"/>
  <c r="AN33" i="17"/>
  <c r="F33" i="1"/>
  <c r="AN29" i="17"/>
  <c r="F29" i="1"/>
  <c r="AN25" i="17"/>
  <c r="F25" i="1"/>
  <c r="AN21" i="17"/>
  <c r="F21" i="1"/>
  <c r="AN18" i="17"/>
  <c r="F18" i="1"/>
  <c r="AN14" i="17"/>
  <c r="F14" i="1"/>
  <c r="D38" i="17"/>
  <c r="F150" i="2"/>
  <c r="C150"/>
  <c r="D155"/>
  <c r="C133"/>
  <c r="D150"/>
  <c r="F122"/>
  <c r="E84"/>
  <c r="E88"/>
  <c r="D38"/>
  <c r="D141"/>
  <c r="D49"/>
  <c r="F141"/>
  <c r="F49"/>
  <c r="D66"/>
  <c r="E158"/>
  <c r="E171"/>
  <c r="E188"/>
  <c r="F133"/>
  <c r="D122"/>
  <c r="D133"/>
  <c r="F171"/>
  <c r="C171"/>
  <c r="F66"/>
  <c r="G171"/>
  <c r="G188"/>
  <c r="F38"/>
  <c r="F188" i="3"/>
  <c r="G122" i="6"/>
  <c r="G155"/>
  <c r="H125" i="8"/>
  <c r="H126"/>
  <c r="H114"/>
  <c r="H117"/>
  <c r="AX184" i="21"/>
  <c r="AL184" i="17"/>
  <c r="F99" i="2"/>
  <c r="BN99"/>
  <c r="C99" i="1"/>
  <c r="H171" i="8"/>
  <c r="AO98" i="2"/>
  <c r="C97" i="4"/>
  <c r="G97"/>
  <c r="D158" i="17"/>
  <c r="C101" i="4"/>
  <c r="G101"/>
  <c r="AO97" i="2"/>
  <c r="AX97"/>
  <c r="C95" i="4"/>
  <c r="C96" i="5"/>
  <c r="F96"/>
  <c r="C95"/>
  <c r="C98" i="4"/>
  <c r="G98"/>
  <c r="D99" i="17"/>
  <c r="AO96" i="2"/>
  <c r="F48" i="12"/>
  <c r="H48"/>
  <c r="J48"/>
  <c r="D49"/>
  <c r="D158" i="2"/>
  <c r="F35" i="12"/>
  <c r="H34"/>
  <c r="D164" i="14"/>
  <c r="D20" i="12"/>
  <c r="D21"/>
  <c r="D22"/>
  <c r="D23"/>
  <c r="D24"/>
  <c r="D25"/>
  <c r="D26"/>
  <c r="D27"/>
  <c r="D28"/>
  <c r="F19"/>
  <c r="H19"/>
  <c r="J19"/>
  <c r="C158" i="7"/>
  <c r="F20" i="14"/>
  <c r="H20"/>
  <c r="AO101" i="2"/>
  <c r="AO95"/>
  <c r="D94" i="17"/>
  <c r="F121" i="14"/>
  <c r="D106"/>
  <c r="F106"/>
  <c r="F107"/>
  <c r="F108"/>
  <c r="F109"/>
  <c r="F110"/>
  <c r="F111"/>
  <c r="F112"/>
  <c r="F113"/>
  <c r="F114"/>
  <c r="F115"/>
  <c r="F40"/>
  <c r="H40"/>
  <c r="J40"/>
  <c r="D28" i="13"/>
  <c r="C96" i="4"/>
  <c r="G96"/>
  <c r="D66" i="11"/>
  <c r="G68" i="6"/>
  <c r="F4" i="14"/>
  <c r="H4"/>
  <c r="H133" i="8"/>
  <c r="F53" i="15"/>
  <c r="D54"/>
  <c r="F20" i="12"/>
  <c r="AX101" i="2"/>
  <c r="AX96"/>
  <c r="F79" i="12"/>
  <c r="H79"/>
  <c r="J79"/>
  <c r="D80"/>
  <c r="F66"/>
  <c r="C98" i="5"/>
  <c r="F98"/>
  <c r="D68" i="8"/>
  <c r="H68"/>
  <c r="F83" i="13"/>
  <c r="F84"/>
  <c r="F85"/>
  <c r="F86"/>
  <c r="F87"/>
  <c r="F88"/>
  <c r="F89"/>
  <c r="F90"/>
  <c r="F91"/>
  <c r="F92"/>
  <c r="F93"/>
  <c r="F94"/>
  <c r="F95"/>
  <c r="F96"/>
  <c r="F97"/>
  <c r="F98"/>
  <c r="F99"/>
  <c r="F100"/>
  <c r="H150" i="8"/>
  <c r="F4" i="15"/>
  <c r="H4"/>
  <c r="J4"/>
  <c r="L4"/>
  <c r="D5"/>
  <c r="D84" i="2"/>
  <c r="B47" i="12"/>
  <c r="B62"/>
  <c r="B77"/>
  <c r="B97"/>
  <c r="B111"/>
  <c r="F49"/>
  <c r="F113"/>
  <c r="H113"/>
  <c r="J113"/>
  <c r="D93" i="2"/>
  <c r="D93" i="17"/>
  <c r="B23" i="15"/>
  <c r="B38"/>
  <c r="B52"/>
  <c r="D106" i="12"/>
  <c r="D107"/>
  <c r="F107" i="13"/>
  <c r="H107"/>
  <c r="D108"/>
  <c r="D117" i="12"/>
  <c r="D118"/>
  <c r="D119"/>
  <c r="D120"/>
  <c r="D121"/>
  <c r="H64"/>
  <c r="J64"/>
  <c r="D38"/>
  <c r="C68" i="7"/>
  <c r="D6" i="14"/>
  <c r="F5"/>
  <c r="H5"/>
  <c r="D68"/>
  <c r="D26" i="15"/>
  <c r="F39"/>
  <c r="D40"/>
  <c r="D11" i="12"/>
  <c r="D12"/>
  <c r="D13"/>
  <c r="F5"/>
  <c r="F6"/>
  <c r="F7"/>
  <c r="F8"/>
  <c r="F9"/>
  <c r="F10"/>
  <c r="F11"/>
  <c r="F12"/>
  <c r="F13"/>
  <c r="D55" i="15"/>
  <c r="F54"/>
  <c r="H99" i="12"/>
  <c r="F100"/>
  <c r="F36"/>
  <c r="H35"/>
  <c r="D22" i="14"/>
  <c r="F21"/>
  <c r="H21"/>
  <c r="D86" i="13"/>
  <c r="D87"/>
  <c r="F57"/>
  <c r="H57"/>
  <c r="J57"/>
  <c r="D58"/>
  <c r="D107" i="14"/>
  <c r="F84" i="2"/>
  <c r="F88"/>
  <c r="C101" i="5"/>
  <c r="F101"/>
  <c r="F41" i="14"/>
  <c r="H41"/>
  <c r="J41"/>
  <c r="D42"/>
  <c r="F93" i="2"/>
  <c r="D43" i="13"/>
  <c r="F94" i="2"/>
  <c r="D84" i="17"/>
  <c r="B3" i="14"/>
  <c r="B18"/>
  <c r="B39"/>
  <c r="B79"/>
  <c r="B105"/>
  <c r="B119"/>
  <c r="B133"/>
  <c r="B148"/>
  <c r="B162"/>
  <c r="B176"/>
  <c r="B41" i="13"/>
  <c r="B56"/>
  <c r="B81"/>
  <c r="B105"/>
  <c r="B26"/>
  <c r="H91"/>
  <c r="H92"/>
  <c r="H93"/>
  <c r="H94"/>
  <c r="H95"/>
  <c r="H96"/>
  <c r="H97"/>
  <c r="H98"/>
  <c r="H99"/>
  <c r="H100"/>
  <c r="H32"/>
  <c r="H33"/>
  <c r="H34"/>
  <c r="H35"/>
  <c r="H36"/>
  <c r="AX95" i="2"/>
  <c r="AX98"/>
  <c r="O20" i="1"/>
  <c r="O100"/>
  <c r="H66" i="12"/>
  <c r="K76" i="23"/>
  <c r="D67" i="12"/>
  <c r="D68"/>
  <c r="D69"/>
  <c r="D70"/>
  <c r="D71"/>
  <c r="D72"/>
  <c r="I70" i="23"/>
  <c r="C77" i="7"/>
  <c r="D39" i="12"/>
  <c r="D40"/>
  <c r="D41"/>
  <c r="D42"/>
  <c r="D43"/>
  <c r="K77" i="23"/>
  <c r="D50" i="12"/>
  <c r="D51"/>
  <c r="D52"/>
  <c r="D53"/>
  <c r="G73" i="23"/>
  <c r="J72" i="7"/>
  <c r="J72" i="9"/>
  <c r="J80"/>
  <c r="E80" i="7"/>
  <c r="O16" i="1"/>
  <c r="BL58" i="2"/>
  <c r="AO102"/>
  <c r="AO104"/>
  <c r="AO190"/>
  <c r="AO192"/>
  <c r="C186"/>
  <c r="O25" i="1"/>
  <c r="O180"/>
  <c r="O17"/>
  <c r="O59"/>
  <c r="O145"/>
  <c r="O128"/>
  <c r="O60"/>
  <c r="O24"/>
  <c r="O167"/>
  <c r="O165"/>
  <c r="AL58" i="17"/>
  <c r="O169" i="1"/>
  <c r="O21"/>
  <c r="O182"/>
  <c r="O55"/>
  <c r="O22"/>
  <c r="O147"/>
  <c r="O130"/>
  <c r="O56"/>
  <c r="O146"/>
  <c r="O62"/>
  <c r="O170"/>
  <c r="O28"/>
  <c r="O111"/>
  <c r="O14"/>
  <c r="O41"/>
  <c r="O36"/>
  <c r="O177"/>
  <c r="O168"/>
  <c r="O148"/>
  <c r="O29"/>
  <c r="O63"/>
  <c r="O37"/>
  <c r="O140"/>
  <c r="O126"/>
  <c r="O109"/>
  <c r="O64"/>
  <c r="O33"/>
  <c r="O164"/>
  <c r="O47"/>
  <c r="O27"/>
  <c r="O18"/>
  <c r="O54"/>
  <c r="O45"/>
  <c r="O183"/>
  <c r="O119"/>
  <c r="O166"/>
  <c r="O85"/>
  <c r="O34"/>
  <c r="O46"/>
  <c r="O30"/>
  <c r="O43"/>
  <c r="F28" i="13"/>
  <c r="D88"/>
  <c r="D89"/>
  <c r="D90"/>
  <c r="D91"/>
  <c r="D92"/>
  <c r="D93"/>
  <c r="D94"/>
  <c r="D95"/>
  <c r="D96"/>
  <c r="D97"/>
  <c r="D98"/>
  <c r="D99"/>
  <c r="D100"/>
  <c r="AW78" i="21"/>
  <c r="AK78" i="17"/>
  <c r="T155" i="9"/>
  <c r="L154" i="1"/>
  <c r="L155"/>
  <c r="D74" i="17"/>
  <c r="E74"/>
  <c r="AN74"/>
  <c r="F74" i="1"/>
  <c r="D108" i="14"/>
  <c r="D109"/>
  <c r="D110"/>
  <c r="D111"/>
  <c r="D112"/>
  <c r="D113"/>
  <c r="D114"/>
  <c r="D115"/>
  <c r="F134"/>
  <c r="D149"/>
  <c r="H106"/>
  <c r="D135"/>
  <c r="F135"/>
  <c r="AV97" i="2"/>
  <c r="W74" i="21"/>
  <c r="W80"/>
  <c r="R74"/>
  <c r="V74"/>
  <c r="Y74"/>
  <c r="S74"/>
  <c r="K74"/>
  <c r="AE74" i="2"/>
  <c r="AE80"/>
  <c r="AE90"/>
  <c r="Q80"/>
  <c r="Q98"/>
  <c r="AD74"/>
  <c r="AD80"/>
  <c r="AD90"/>
  <c r="T74"/>
  <c r="T80"/>
  <c r="T96"/>
  <c r="P80"/>
  <c r="P90"/>
  <c r="D83" i="14"/>
  <c r="G102" i="17"/>
  <c r="G104"/>
  <c r="AX102" i="2"/>
  <c r="AX104"/>
  <c r="AX190"/>
  <c r="AX192"/>
  <c r="F42" i="14"/>
  <c r="AG80" i="2"/>
  <c r="AG90"/>
  <c r="AH73" i="21"/>
  <c r="AC80"/>
  <c r="AL73"/>
  <c r="AL80"/>
  <c r="AE73"/>
  <c r="AE80"/>
  <c r="AG73"/>
  <c r="AG80"/>
  <c r="AJ73"/>
  <c r="AJ80"/>
  <c r="AD80"/>
  <c r="AI73"/>
  <c r="AI80"/>
  <c r="AB73"/>
  <c r="AB80"/>
  <c r="U80"/>
  <c r="Z80"/>
  <c r="AR80" i="2"/>
  <c r="AR98"/>
  <c r="X80" i="21"/>
  <c r="R73"/>
  <c r="R80"/>
  <c r="V73"/>
  <c r="V80"/>
  <c r="Q80"/>
  <c r="AA80"/>
  <c r="P73"/>
  <c r="K73"/>
  <c r="O73"/>
  <c r="J73"/>
  <c r="C133" i="1"/>
  <c r="G95" i="4"/>
  <c r="G102"/>
  <c r="G104"/>
  <c r="C102"/>
  <c r="C104"/>
  <c r="BG192" i="2"/>
  <c r="BG190"/>
  <c r="AT122" i="21"/>
  <c r="AT188"/>
  <c r="AT190"/>
  <c r="AT192"/>
  <c r="AZ121"/>
  <c r="BN121" i="2"/>
  <c r="C121" i="1"/>
  <c r="C150"/>
  <c r="BN155" i="2"/>
  <c r="C154" i="1"/>
  <c r="C102" i="5"/>
  <c r="C104"/>
  <c r="F95"/>
  <c r="F102"/>
  <c r="F104"/>
  <c r="BN141" i="2"/>
  <c r="C137" i="1"/>
  <c r="AN155" i="17"/>
  <c r="F154" i="1"/>
  <c r="F122"/>
  <c r="F141"/>
  <c r="F133"/>
  <c r="F150"/>
  <c r="J158" i="7"/>
  <c r="H158" i="9"/>
  <c r="C171" i="7"/>
  <c r="BN150" i="2"/>
  <c r="BN158"/>
  <c r="F175"/>
  <c r="F186"/>
  <c r="BN49"/>
  <c r="BN38"/>
  <c r="BN133"/>
  <c r="BN84"/>
  <c r="BN184"/>
  <c r="C184" i="1"/>
  <c r="AZ184" i="21"/>
  <c r="I184" i="1"/>
  <c r="BN93" i="2"/>
  <c r="C93" i="1"/>
  <c r="AX185" i="21"/>
  <c r="AZ185"/>
  <c r="I185" i="1"/>
  <c r="AN184" i="17"/>
  <c r="F184" i="1"/>
  <c r="AL185" i="17"/>
  <c r="AN185"/>
  <c r="F185" i="1"/>
  <c r="D175" i="2"/>
  <c r="BN94"/>
  <c r="C94" i="1"/>
  <c r="D88" i="17"/>
  <c r="AN84"/>
  <c r="D68"/>
  <c r="D175"/>
  <c r="AN93"/>
  <c r="F93" i="1"/>
  <c r="AN49" i="17"/>
  <c r="AN133"/>
  <c r="AN150"/>
  <c r="AN94"/>
  <c r="F94" i="1"/>
  <c r="AN99" i="17"/>
  <c r="F99" i="1"/>
  <c r="O99"/>
  <c r="D171" i="17"/>
  <c r="AN158"/>
  <c r="AN122"/>
  <c r="AN38"/>
  <c r="AN141"/>
  <c r="C68" i="2"/>
  <c r="BL185"/>
  <c r="BN185"/>
  <c r="C185" i="1"/>
  <c r="F188" i="2"/>
  <c r="D88"/>
  <c r="F68"/>
  <c r="D171"/>
  <c r="D68"/>
  <c r="E188" i="3"/>
  <c r="G188"/>
  <c r="H122" i="8"/>
  <c r="H155"/>
  <c r="F188" i="17"/>
  <c r="L188"/>
  <c r="J188"/>
  <c r="I188"/>
  <c r="E188"/>
  <c r="F188" i="10"/>
  <c r="E188"/>
  <c r="D188"/>
  <c r="L49" i="1"/>
  <c r="F38"/>
  <c r="H66" i="11"/>
  <c r="AQ97" i="2"/>
  <c r="AV101"/>
  <c r="D68" i="11"/>
  <c r="H68"/>
  <c r="L88" i="1"/>
  <c r="F67" i="12"/>
  <c r="H67"/>
  <c r="J67"/>
  <c r="D29" i="13"/>
  <c r="F122" i="14"/>
  <c r="H121"/>
  <c r="D165"/>
  <c r="F164"/>
  <c r="H164"/>
  <c r="J164"/>
  <c r="D81" i="12"/>
  <c r="G75" i="23"/>
  <c r="F80" i="12"/>
  <c r="H80"/>
  <c r="J80"/>
  <c r="F21"/>
  <c r="H20"/>
  <c r="J20"/>
  <c r="F114"/>
  <c r="F115"/>
  <c r="F5" i="15"/>
  <c r="H5"/>
  <c r="J5"/>
  <c r="L5"/>
  <c r="D6"/>
  <c r="D43" i="14"/>
  <c r="D44"/>
  <c r="H49" i="12"/>
  <c r="J49"/>
  <c r="F50"/>
  <c r="D23" i="14"/>
  <c r="F22"/>
  <c r="H22"/>
  <c r="AV98" i="2"/>
  <c r="F43" i="13"/>
  <c r="D44"/>
  <c r="D109"/>
  <c r="F108"/>
  <c r="H108"/>
  <c r="AV96" i="2"/>
  <c r="AQ96"/>
  <c r="AQ95"/>
  <c r="AQ101"/>
  <c r="AQ98"/>
  <c r="H36" i="12"/>
  <c r="F37"/>
  <c r="D56" i="15"/>
  <c r="F55"/>
  <c r="D41"/>
  <c r="F40"/>
  <c r="D69" i="14"/>
  <c r="F6"/>
  <c r="H6"/>
  <c r="D7"/>
  <c r="AV95" i="2"/>
  <c r="H4" i="13"/>
  <c r="H5"/>
  <c r="H6"/>
  <c r="H7"/>
  <c r="H8"/>
  <c r="H9"/>
  <c r="H10"/>
  <c r="H11"/>
  <c r="H12"/>
  <c r="H13"/>
  <c r="H14"/>
  <c r="H15"/>
  <c r="H16"/>
  <c r="H17"/>
  <c r="H18"/>
  <c r="H19"/>
  <c r="H20"/>
  <c r="H21"/>
  <c r="F5"/>
  <c r="F6"/>
  <c r="F7"/>
  <c r="F8"/>
  <c r="F9"/>
  <c r="G74" i="23"/>
  <c r="D136" i="14"/>
  <c r="D59" i="13"/>
  <c r="F58"/>
  <c r="H58"/>
  <c r="J58"/>
  <c r="H100" i="12"/>
  <c r="F101"/>
  <c r="H114"/>
  <c r="J114"/>
  <c r="F26" i="15"/>
  <c r="D27"/>
  <c r="H42" i="14"/>
  <c r="J42"/>
  <c r="E90" i="7"/>
  <c r="E95"/>
  <c r="E98"/>
  <c r="E101"/>
  <c r="E96"/>
  <c r="E97"/>
  <c r="H77" i="9"/>
  <c r="H80"/>
  <c r="C80" i="7"/>
  <c r="J90" i="9"/>
  <c r="J97"/>
  <c r="J95"/>
  <c r="J101"/>
  <c r="J98"/>
  <c r="J96"/>
  <c r="J76" i="7"/>
  <c r="F80"/>
  <c r="F68" i="12"/>
  <c r="F69"/>
  <c r="D54"/>
  <c r="D55"/>
  <c r="D56"/>
  <c r="D57"/>
  <c r="K70" i="23"/>
  <c r="K73"/>
  <c r="J66" i="12"/>
  <c r="G77" i="21"/>
  <c r="AR96" i="2"/>
  <c r="AR95"/>
  <c r="AR101"/>
  <c r="BL66"/>
  <c r="BL68"/>
  <c r="BN58"/>
  <c r="O133" i="1"/>
  <c r="O150"/>
  <c r="AL66" i="17"/>
  <c r="AL68"/>
  <c r="AN58"/>
  <c r="F58" i="1"/>
  <c r="O94"/>
  <c r="O93"/>
  <c r="C122"/>
  <c r="O49"/>
  <c r="C155"/>
  <c r="O154"/>
  <c r="O155"/>
  <c r="C141"/>
  <c r="O137"/>
  <c r="O141"/>
  <c r="I186"/>
  <c r="BN122" i="2"/>
  <c r="D30" i="13"/>
  <c r="F30"/>
  <c r="F29"/>
  <c r="AW80" i="21"/>
  <c r="AZ78"/>
  <c r="I78" i="1"/>
  <c r="H80" i="7"/>
  <c r="AV80" i="21"/>
  <c r="AK80" i="17"/>
  <c r="AK90"/>
  <c r="AN78"/>
  <c r="F78" i="1"/>
  <c r="J77" i="7"/>
  <c r="J80"/>
  <c r="J90"/>
  <c r="G80"/>
  <c r="BJ90" i="2"/>
  <c r="AK97" i="17"/>
  <c r="AK96"/>
  <c r="AK98"/>
  <c r="AK101"/>
  <c r="H78" i="11"/>
  <c r="AK80" i="2"/>
  <c r="AK90"/>
  <c r="AI80"/>
  <c r="AI98"/>
  <c r="AJ73"/>
  <c r="AJ80"/>
  <c r="D150" i="14"/>
  <c r="D151"/>
  <c r="D152"/>
  <c r="D153"/>
  <c r="D154"/>
  <c r="D155"/>
  <c r="D156"/>
  <c r="D157"/>
  <c r="D158"/>
  <c r="F149"/>
  <c r="T95" i="2"/>
  <c r="S80" i="21"/>
  <c r="S95"/>
  <c r="H134" i="14"/>
  <c r="F43"/>
  <c r="T98" i="2"/>
  <c r="AD97"/>
  <c r="T101"/>
  <c r="Y80" i="21"/>
  <c r="Y98"/>
  <c r="M80"/>
  <c r="M90"/>
  <c r="AR73"/>
  <c r="AR80"/>
  <c r="G80" i="3"/>
  <c r="G98"/>
  <c r="AE73" i="17"/>
  <c r="AE80"/>
  <c r="AV102" i="2"/>
  <c r="AV104"/>
  <c r="AV190"/>
  <c r="AV192"/>
  <c r="K80" i="21"/>
  <c r="K96"/>
  <c r="L80"/>
  <c r="L90"/>
  <c r="J106" i="14"/>
  <c r="J107"/>
  <c r="J108"/>
  <c r="J109"/>
  <c r="J110"/>
  <c r="J111"/>
  <c r="J112"/>
  <c r="J113"/>
  <c r="J114"/>
  <c r="J115"/>
  <c r="H107"/>
  <c r="H108"/>
  <c r="H109"/>
  <c r="H110"/>
  <c r="H111"/>
  <c r="H112"/>
  <c r="H113"/>
  <c r="H114"/>
  <c r="H115"/>
  <c r="J80" i="21"/>
  <c r="D73"/>
  <c r="K97"/>
  <c r="K90"/>
  <c r="K95"/>
  <c r="R90"/>
  <c r="R98"/>
  <c r="R96"/>
  <c r="R97"/>
  <c r="R95"/>
  <c r="R101"/>
  <c r="Z90"/>
  <c r="Z97"/>
  <c r="Z101"/>
  <c r="Z98"/>
  <c r="Z96"/>
  <c r="Z95"/>
  <c r="AD90"/>
  <c r="AD95"/>
  <c r="AD101"/>
  <c r="AD97"/>
  <c r="AD96"/>
  <c r="AD98"/>
  <c r="AL96"/>
  <c r="AL95"/>
  <c r="AL98"/>
  <c r="AL97"/>
  <c r="AL101"/>
  <c r="AL90"/>
  <c r="Q90" i="2"/>
  <c r="Q97"/>
  <c r="D74" i="21"/>
  <c r="Q96" i="2"/>
  <c r="AW73"/>
  <c r="AW80"/>
  <c r="AW90"/>
  <c r="AT80"/>
  <c r="AT90"/>
  <c r="O80" i="21"/>
  <c r="E73"/>
  <c r="P80"/>
  <c r="Q101"/>
  <c r="Q98"/>
  <c r="Q97"/>
  <c r="Q96"/>
  <c r="Q90"/>
  <c r="Q95"/>
  <c r="W90"/>
  <c r="W101"/>
  <c r="W96"/>
  <c r="W95"/>
  <c r="W98"/>
  <c r="W97"/>
  <c r="U90"/>
  <c r="U101"/>
  <c r="U98"/>
  <c r="U97"/>
  <c r="U96"/>
  <c r="U95"/>
  <c r="AJ90"/>
  <c r="AJ98"/>
  <c r="AJ96"/>
  <c r="AJ101"/>
  <c r="AJ97"/>
  <c r="AJ95"/>
  <c r="AC90"/>
  <c r="AC101"/>
  <c r="AC97"/>
  <c r="AC98"/>
  <c r="AC96"/>
  <c r="AC95"/>
  <c r="G190" i="17"/>
  <c r="G192"/>
  <c r="E74" i="21"/>
  <c r="Q95" i="2"/>
  <c r="AY80"/>
  <c r="AY96"/>
  <c r="AU80"/>
  <c r="AU98"/>
  <c r="AS73"/>
  <c r="AS80"/>
  <c r="AS98"/>
  <c r="R80"/>
  <c r="R96"/>
  <c r="T80" i="21"/>
  <c r="V90"/>
  <c r="V98"/>
  <c r="V95"/>
  <c r="V96"/>
  <c r="V101"/>
  <c r="V97"/>
  <c r="X90"/>
  <c r="X101"/>
  <c r="X96"/>
  <c r="X95"/>
  <c r="X98"/>
  <c r="X97"/>
  <c r="AB90"/>
  <c r="AB98"/>
  <c r="AB97"/>
  <c r="AB96"/>
  <c r="AB101"/>
  <c r="AB95"/>
  <c r="AG90"/>
  <c r="AG96"/>
  <c r="AG101"/>
  <c r="AG98"/>
  <c r="AG95"/>
  <c r="AG97"/>
  <c r="AH80"/>
  <c r="F73"/>
  <c r="F80"/>
  <c r="F90"/>
  <c r="T90" i="2"/>
  <c r="T97"/>
  <c r="Q101"/>
  <c r="AE97"/>
  <c r="AQ102"/>
  <c r="AQ104"/>
  <c r="AQ190"/>
  <c r="AQ192"/>
  <c r="Y90" i="21"/>
  <c r="AA90"/>
  <c r="AA97"/>
  <c r="AA96"/>
  <c r="AA101"/>
  <c r="AA95"/>
  <c r="AA98"/>
  <c r="AR90" i="2"/>
  <c r="AR97"/>
  <c r="AI90" i="21"/>
  <c r="AI97"/>
  <c r="AI95"/>
  <c r="AI96"/>
  <c r="AI101"/>
  <c r="AI98"/>
  <c r="AE90"/>
  <c r="AE101"/>
  <c r="AE98"/>
  <c r="AE95"/>
  <c r="AE97"/>
  <c r="AE96"/>
  <c r="D84" i="14"/>
  <c r="Z74" i="2"/>
  <c r="Z80"/>
  <c r="Y80"/>
  <c r="L80"/>
  <c r="L95"/>
  <c r="I121" i="1"/>
  <c r="O121"/>
  <c r="O122"/>
  <c r="AZ122" i="21"/>
  <c r="G190" i="4"/>
  <c r="G192"/>
  <c r="BN88" i="2"/>
  <c r="C84" i="1"/>
  <c r="F192" i="5"/>
  <c r="F190"/>
  <c r="BN171" i="2"/>
  <c r="C158" i="1"/>
  <c r="AN88" i="17"/>
  <c r="F84" i="1"/>
  <c r="AN171" i="17"/>
  <c r="F158" i="1"/>
  <c r="F155"/>
  <c r="H171" i="9"/>
  <c r="H188"/>
  <c r="T158"/>
  <c r="J171" i="7"/>
  <c r="J189"/>
  <c r="AZ186" i="21"/>
  <c r="F49" i="1"/>
  <c r="AL186" i="17"/>
  <c r="AL188"/>
  <c r="BL186" i="2"/>
  <c r="AX186" i="21"/>
  <c r="AX188"/>
  <c r="D186" i="2"/>
  <c r="D188"/>
  <c r="F175" i="1"/>
  <c r="D186" i="17"/>
  <c r="D188"/>
  <c r="C49" i="1"/>
  <c r="R58" i="9"/>
  <c r="P96" i="2"/>
  <c r="P97"/>
  <c r="AD101"/>
  <c r="P95"/>
  <c r="F123" i="14"/>
  <c r="H122"/>
  <c r="J121"/>
  <c r="L120"/>
  <c r="P98" i="2"/>
  <c r="P101"/>
  <c r="D166" i="14"/>
  <c r="AN80" i="2"/>
  <c r="AN90"/>
  <c r="F165" i="14"/>
  <c r="H165"/>
  <c r="J165"/>
  <c r="AK97" i="2"/>
  <c r="AD95"/>
  <c r="F22" i="12"/>
  <c r="H21"/>
  <c r="J21"/>
  <c r="H50"/>
  <c r="J50"/>
  <c r="F51"/>
  <c r="AD98" i="2"/>
  <c r="AD96"/>
  <c r="D7" i="15"/>
  <c r="F6"/>
  <c r="H6"/>
  <c r="J6"/>
  <c r="L6"/>
  <c r="D82" i="12"/>
  <c r="K75" i="23"/>
  <c r="F81" i="12"/>
  <c r="H81"/>
  <c r="J81"/>
  <c r="D57" i="15"/>
  <c r="F56"/>
  <c r="D8" i="14"/>
  <c r="F7"/>
  <c r="H7"/>
  <c r="D70"/>
  <c r="F23"/>
  <c r="H23"/>
  <c r="D24"/>
  <c r="F136"/>
  <c r="H135"/>
  <c r="D137"/>
  <c r="F41" i="15"/>
  <c r="D42"/>
  <c r="F38" i="12"/>
  <c r="H37"/>
  <c r="D110" i="13"/>
  <c r="F109"/>
  <c r="H109"/>
  <c r="F44"/>
  <c r="D45"/>
  <c r="D28" i="15"/>
  <c r="F27"/>
  <c r="H115" i="12"/>
  <c r="J115"/>
  <c r="F116"/>
  <c r="AE101" i="2"/>
  <c r="AE95"/>
  <c r="AE96"/>
  <c r="AE98"/>
  <c r="H101" i="12"/>
  <c r="F102"/>
  <c r="F59" i="13"/>
  <c r="H59"/>
  <c r="J59"/>
  <c r="D60"/>
  <c r="F10"/>
  <c r="C101" i="7"/>
  <c r="AU95" i="2"/>
  <c r="C38" i="1"/>
  <c r="D45" i="14"/>
  <c r="F44"/>
  <c r="J102" i="9"/>
  <c r="J104"/>
  <c r="J190"/>
  <c r="C90" i="7"/>
  <c r="C97"/>
  <c r="C96"/>
  <c r="H98" i="9"/>
  <c r="H97"/>
  <c r="H90"/>
  <c r="H95"/>
  <c r="H101"/>
  <c r="H96"/>
  <c r="H68" i="12"/>
  <c r="J68"/>
  <c r="F90" i="7"/>
  <c r="F97"/>
  <c r="F98"/>
  <c r="F95"/>
  <c r="F101"/>
  <c r="F96"/>
  <c r="E102"/>
  <c r="E104"/>
  <c r="E80" i="6"/>
  <c r="F77" i="9"/>
  <c r="F80"/>
  <c r="G77" i="6"/>
  <c r="C98" i="7"/>
  <c r="C95"/>
  <c r="C102"/>
  <c r="D31" i="13"/>
  <c r="F11"/>
  <c r="F12"/>
  <c r="F13"/>
  <c r="F14"/>
  <c r="F15"/>
  <c r="F16"/>
  <c r="F17"/>
  <c r="F18"/>
  <c r="F19"/>
  <c r="F20"/>
  <c r="F21"/>
  <c r="I74" i="23"/>
  <c r="K74"/>
  <c r="AR102" i="2"/>
  <c r="AR104"/>
  <c r="AR190"/>
  <c r="AR192"/>
  <c r="G95" i="3"/>
  <c r="G101"/>
  <c r="G96"/>
  <c r="AY95" i="2"/>
  <c r="AY98"/>
  <c r="AI95"/>
  <c r="AW97"/>
  <c r="AI101"/>
  <c r="C58" i="1"/>
  <c r="C66"/>
  <c r="C68"/>
  <c r="BN66" i="2"/>
  <c r="BN68"/>
  <c r="L96"/>
  <c r="Y96" i="21"/>
  <c r="O84" i="1"/>
  <c r="O88"/>
  <c r="C171"/>
  <c r="K98" i="21"/>
  <c r="Y95"/>
  <c r="L101"/>
  <c r="K101"/>
  <c r="K102"/>
  <c r="K104"/>
  <c r="K192"/>
  <c r="S98"/>
  <c r="M97"/>
  <c r="Y97"/>
  <c r="M95"/>
  <c r="M101"/>
  <c r="S90"/>
  <c r="Y101"/>
  <c r="S97"/>
  <c r="L95"/>
  <c r="L98"/>
  <c r="L97"/>
  <c r="X102"/>
  <c r="X104"/>
  <c r="X192"/>
  <c r="AB102"/>
  <c r="AB104"/>
  <c r="AB192"/>
  <c r="F191" i="11"/>
  <c r="AK95" i="17"/>
  <c r="AK102"/>
  <c r="AK104"/>
  <c r="E191" i="11"/>
  <c r="H90" i="7"/>
  <c r="H95"/>
  <c r="H101"/>
  <c r="H98"/>
  <c r="H97"/>
  <c r="H96"/>
  <c r="AW90" i="21"/>
  <c r="AW97"/>
  <c r="AW101"/>
  <c r="AW95"/>
  <c r="AW96"/>
  <c r="AW98"/>
  <c r="AZ77"/>
  <c r="I77" i="1"/>
  <c r="BK90" i="2"/>
  <c r="BN78"/>
  <c r="C78" i="1"/>
  <c r="O78"/>
  <c r="G90" i="7"/>
  <c r="G96"/>
  <c r="G101"/>
  <c r="G95"/>
  <c r="G97"/>
  <c r="G98"/>
  <c r="AV95" i="21"/>
  <c r="AV97"/>
  <c r="AV90"/>
  <c r="AV96"/>
  <c r="AV98"/>
  <c r="AV101"/>
  <c r="AZ188"/>
  <c r="AR96"/>
  <c r="AR97"/>
  <c r="AR98"/>
  <c r="AR101"/>
  <c r="AR90"/>
  <c r="AR95"/>
  <c r="E80" i="3"/>
  <c r="E90"/>
  <c r="AP75" i="21"/>
  <c r="AP80"/>
  <c r="AC75" i="17"/>
  <c r="AC80"/>
  <c r="BE90" i="2"/>
  <c r="AJ90"/>
  <c r="AJ98"/>
  <c r="AJ101"/>
  <c r="AJ97"/>
  <c r="AJ96"/>
  <c r="AJ95"/>
  <c r="R98"/>
  <c r="D71" i="14"/>
  <c r="D72"/>
  <c r="D73"/>
  <c r="D74"/>
  <c r="AH80" i="2"/>
  <c r="AH98"/>
  <c r="M98" i="21"/>
  <c r="M96"/>
  <c r="T102" i="2"/>
  <c r="T104"/>
  <c r="T190"/>
  <c r="T192"/>
  <c r="S96" i="21"/>
  <c r="AL102"/>
  <c r="AL104"/>
  <c r="AL192"/>
  <c r="Z102"/>
  <c r="Z104"/>
  <c r="Z192"/>
  <c r="AE97" i="17"/>
  <c r="AE90"/>
  <c r="AE98"/>
  <c r="AE95"/>
  <c r="AE101"/>
  <c r="AE96"/>
  <c r="AI90" i="2"/>
  <c r="AI97"/>
  <c r="H43" i="14"/>
  <c r="J43"/>
  <c r="AI96" i="2"/>
  <c r="AN97"/>
  <c r="S101" i="21"/>
  <c r="AC102"/>
  <c r="AC104"/>
  <c r="AC192"/>
  <c r="U102"/>
  <c r="U104"/>
  <c r="U192"/>
  <c r="W102"/>
  <c r="W104"/>
  <c r="W192"/>
  <c r="Q102"/>
  <c r="Q104"/>
  <c r="Q192"/>
  <c r="L96"/>
  <c r="G90" i="3"/>
  <c r="G97"/>
  <c r="F150" i="14"/>
  <c r="H149"/>
  <c r="J149"/>
  <c r="G80" i="21"/>
  <c r="U74" i="2"/>
  <c r="U80"/>
  <c r="D85" i="14"/>
  <c r="AS90" i="2"/>
  <c r="AS97"/>
  <c r="O90" i="21"/>
  <c r="O101"/>
  <c r="O98"/>
  <c r="O96"/>
  <c r="O97"/>
  <c r="O95"/>
  <c r="AZ74"/>
  <c r="I74" i="1"/>
  <c r="AZ73" i="21"/>
  <c r="I73" i="1"/>
  <c r="D80" i="21"/>
  <c r="AS101" i="2"/>
  <c r="L90"/>
  <c r="L97"/>
  <c r="AH98" i="21"/>
  <c r="F98"/>
  <c r="AH96"/>
  <c r="F96"/>
  <c r="AH90"/>
  <c r="AH97"/>
  <c r="F97"/>
  <c r="AH95"/>
  <c r="AH101"/>
  <c r="F101"/>
  <c r="R90" i="2"/>
  <c r="R97"/>
  <c r="AU90"/>
  <c r="AU97"/>
  <c r="J90" i="21"/>
  <c r="J98"/>
  <c r="J101"/>
  <c r="J96"/>
  <c r="J95"/>
  <c r="J97"/>
  <c r="AS95" i="2"/>
  <c r="AT101"/>
  <c r="AE102"/>
  <c r="AE104"/>
  <c r="AE190"/>
  <c r="AE192"/>
  <c r="AD102"/>
  <c r="AD104"/>
  <c r="AD190"/>
  <c r="AD192"/>
  <c r="L98"/>
  <c r="AU101"/>
  <c r="Y90"/>
  <c r="Y97"/>
  <c r="Y96"/>
  <c r="Y101"/>
  <c r="Y98"/>
  <c r="Y95"/>
  <c r="AI102" i="21"/>
  <c r="AI104"/>
  <c r="AI192"/>
  <c r="AA102"/>
  <c r="AA104"/>
  <c r="AA192"/>
  <c r="T101"/>
  <c r="T95"/>
  <c r="T98"/>
  <c r="T97"/>
  <c r="T90"/>
  <c r="T96"/>
  <c r="AY90" i="2"/>
  <c r="AY97"/>
  <c r="AJ102" i="21"/>
  <c r="AJ104"/>
  <c r="AJ192"/>
  <c r="P90"/>
  <c r="P96"/>
  <c r="P97"/>
  <c r="P101"/>
  <c r="P98"/>
  <c r="P95"/>
  <c r="AD102"/>
  <c r="AD104"/>
  <c r="AD192"/>
  <c r="F73" i="2"/>
  <c r="F80"/>
  <c r="F90"/>
  <c r="AS96"/>
  <c r="S73" i="17"/>
  <c r="S80"/>
  <c r="X80"/>
  <c r="Q80"/>
  <c r="Y80"/>
  <c r="U80"/>
  <c r="W80"/>
  <c r="R80"/>
  <c r="AL80" i="2"/>
  <c r="AL90"/>
  <c r="T80" i="17"/>
  <c r="P80"/>
  <c r="L80"/>
  <c r="L101"/>
  <c r="AA80" i="2"/>
  <c r="AA90"/>
  <c r="O73" i="17"/>
  <c r="O80"/>
  <c r="I80"/>
  <c r="I90"/>
  <c r="M73" i="2"/>
  <c r="M80"/>
  <c r="M95"/>
  <c r="N80" i="17"/>
  <c r="J80"/>
  <c r="J90"/>
  <c r="R101" i="2"/>
  <c r="R95"/>
  <c r="AU96"/>
  <c r="AY101"/>
  <c r="L101"/>
  <c r="P102"/>
  <c r="P104"/>
  <c r="P190"/>
  <c r="P192"/>
  <c r="Z90"/>
  <c r="Z97"/>
  <c r="Z95"/>
  <c r="Z98"/>
  <c r="Z101"/>
  <c r="Z96"/>
  <c r="AE102" i="21"/>
  <c r="AE104"/>
  <c r="AE192"/>
  <c r="AG102"/>
  <c r="AG104"/>
  <c r="AG192"/>
  <c r="V102"/>
  <c r="V104"/>
  <c r="V192"/>
  <c r="Q102" i="2"/>
  <c r="Q104"/>
  <c r="Q190"/>
  <c r="Q192"/>
  <c r="E80" i="21"/>
  <c r="E90"/>
  <c r="R102"/>
  <c r="R104"/>
  <c r="R192"/>
  <c r="I122" i="1"/>
  <c r="I188"/>
  <c r="T171" i="9"/>
  <c r="L158" i="1"/>
  <c r="L171"/>
  <c r="F171"/>
  <c r="BN186" i="2"/>
  <c r="BN188"/>
  <c r="C175" i="1"/>
  <c r="F186"/>
  <c r="T58" i="9"/>
  <c r="R66"/>
  <c r="R68"/>
  <c r="AN186" i="17"/>
  <c r="AN188"/>
  <c r="D97" i="7"/>
  <c r="F88" i="1"/>
  <c r="AK98" i="2"/>
  <c r="AK96"/>
  <c r="AT96"/>
  <c r="AT97"/>
  <c r="AW101"/>
  <c r="AT98"/>
  <c r="AN96"/>
  <c r="AN95"/>
  <c r="AN101"/>
  <c r="AN98"/>
  <c r="AK95"/>
  <c r="AK101"/>
  <c r="F166" i="14"/>
  <c r="H166"/>
  <c r="J166"/>
  <c r="D167"/>
  <c r="F124"/>
  <c r="H123"/>
  <c r="J122"/>
  <c r="L121"/>
  <c r="F23" i="12"/>
  <c r="H22"/>
  <c r="J22"/>
  <c r="D8" i="15"/>
  <c r="F7"/>
  <c r="H7"/>
  <c r="J7"/>
  <c r="L7"/>
  <c r="F52" i="12"/>
  <c r="H51"/>
  <c r="J51"/>
  <c r="F82"/>
  <c r="H82"/>
  <c r="J82"/>
  <c r="D83"/>
  <c r="AW96" i="2"/>
  <c r="F137" i="14"/>
  <c r="H136"/>
  <c r="D138"/>
  <c r="F28" i="15"/>
  <c r="D29"/>
  <c r="D46" i="13"/>
  <c r="F45"/>
  <c r="D9" i="14"/>
  <c r="F8"/>
  <c r="H8"/>
  <c r="H116" i="12"/>
  <c r="J116"/>
  <c r="F117"/>
  <c r="F70"/>
  <c r="H69"/>
  <c r="J69"/>
  <c r="D111" i="13"/>
  <c r="F110"/>
  <c r="H110"/>
  <c r="D101" i="7"/>
  <c r="D95"/>
  <c r="D98"/>
  <c r="D96"/>
  <c r="C88" i="1"/>
  <c r="F24" i="14"/>
  <c r="H24"/>
  <c r="D25"/>
  <c r="H102" i="12"/>
  <c r="F103"/>
  <c r="F42" i="15"/>
  <c r="D43"/>
  <c r="F60" i="13"/>
  <c r="H60"/>
  <c r="J60"/>
  <c r="D61"/>
  <c r="F31"/>
  <c r="D32"/>
  <c r="H38" i="12"/>
  <c r="F39"/>
  <c r="F57" i="15"/>
  <c r="D58"/>
  <c r="AW98" i="2"/>
  <c r="AT95"/>
  <c r="AW95"/>
  <c r="D46" i="14"/>
  <c r="F45"/>
  <c r="H44"/>
  <c r="J44"/>
  <c r="J192" i="9"/>
  <c r="AX76" i="21"/>
  <c r="AX80"/>
  <c r="E90" i="6"/>
  <c r="E101"/>
  <c r="E95"/>
  <c r="E96"/>
  <c r="E97"/>
  <c r="E98"/>
  <c r="F102" i="7"/>
  <c r="F104"/>
  <c r="AL76" i="17"/>
  <c r="AL80"/>
  <c r="AL90"/>
  <c r="H102" i="9"/>
  <c r="H104"/>
  <c r="F90"/>
  <c r="F97"/>
  <c r="F101"/>
  <c r="F95"/>
  <c r="F98"/>
  <c r="F96"/>
  <c r="BL90" i="2"/>
  <c r="D80" i="6"/>
  <c r="E76" i="9"/>
  <c r="G76" i="6"/>
  <c r="E191" i="7"/>
  <c r="E193"/>
  <c r="R76" i="9"/>
  <c r="R80"/>
  <c r="J96" i="7"/>
  <c r="J97"/>
  <c r="J101"/>
  <c r="H102"/>
  <c r="H104"/>
  <c r="F97" i="2"/>
  <c r="AL97"/>
  <c r="G102" i="3"/>
  <c r="G104"/>
  <c r="G191"/>
  <c r="AH95" i="2"/>
  <c r="AH96"/>
  <c r="BE102"/>
  <c r="BE104"/>
  <c r="BE190"/>
  <c r="AI102"/>
  <c r="AI104"/>
  <c r="AI190"/>
  <c r="AI192"/>
  <c r="AH101"/>
  <c r="AY102"/>
  <c r="M101"/>
  <c r="M98"/>
  <c r="M96"/>
  <c r="O158" i="1"/>
  <c r="O171"/>
  <c r="C186"/>
  <c r="C188"/>
  <c r="O175"/>
  <c r="Y102" i="21"/>
  <c r="Y104"/>
  <c r="Y192"/>
  <c r="M102"/>
  <c r="M104"/>
  <c r="M192"/>
  <c r="S102"/>
  <c r="S104"/>
  <c r="S192"/>
  <c r="L102"/>
  <c r="L104"/>
  <c r="L192"/>
  <c r="AW102"/>
  <c r="AW104"/>
  <c r="AW190"/>
  <c r="AW192"/>
  <c r="J98" i="7"/>
  <c r="J95"/>
  <c r="BJ102" i="2"/>
  <c r="BJ104"/>
  <c r="G102" i="7"/>
  <c r="G104"/>
  <c r="AV102" i="21"/>
  <c r="AV104"/>
  <c r="AV190"/>
  <c r="AV192"/>
  <c r="AK190" i="17"/>
  <c r="AK192"/>
  <c r="L96"/>
  <c r="L98"/>
  <c r="AN102" i="2"/>
  <c r="AN104"/>
  <c r="AN190"/>
  <c r="AN192"/>
  <c r="L102"/>
  <c r="L104"/>
  <c r="L190"/>
  <c r="L192"/>
  <c r="AP101" i="21"/>
  <c r="AP95"/>
  <c r="AP97"/>
  <c r="AP90"/>
  <c r="AP98"/>
  <c r="AP96"/>
  <c r="L95" i="17"/>
  <c r="J97"/>
  <c r="J102" i="21"/>
  <c r="J104"/>
  <c r="J192"/>
  <c r="F151" i="14"/>
  <c r="H150"/>
  <c r="J150"/>
  <c r="AE102" i="17"/>
  <c r="AE104"/>
  <c r="AR102" i="21"/>
  <c r="AR104"/>
  <c r="AR190"/>
  <c r="AR192"/>
  <c r="AJ102" i="2"/>
  <c r="AJ104"/>
  <c r="AJ190"/>
  <c r="AJ192"/>
  <c r="BC90"/>
  <c r="D73" i="17"/>
  <c r="D80"/>
  <c r="D90"/>
  <c r="AU102" i="2"/>
  <c r="AU104"/>
  <c r="AU190"/>
  <c r="AU192"/>
  <c r="AH90"/>
  <c r="AH97"/>
  <c r="AC96" i="17"/>
  <c r="AC95"/>
  <c r="AC101"/>
  <c r="AC90"/>
  <c r="AC97"/>
  <c r="AC98"/>
  <c r="AM80" i="2"/>
  <c r="AM90"/>
  <c r="M80" i="17"/>
  <c r="E73"/>
  <c r="E80"/>
  <c r="E90"/>
  <c r="P90"/>
  <c r="P95"/>
  <c r="P96"/>
  <c r="P97"/>
  <c r="P101"/>
  <c r="P98"/>
  <c r="W90"/>
  <c r="W95"/>
  <c r="W97"/>
  <c r="W96"/>
  <c r="W98"/>
  <c r="W101"/>
  <c r="X90"/>
  <c r="X101"/>
  <c r="X97"/>
  <c r="X98"/>
  <c r="X95"/>
  <c r="X96"/>
  <c r="E98" i="21"/>
  <c r="AW102" i="2"/>
  <c r="AW104"/>
  <c r="AW190"/>
  <c r="AW192"/>
  <c r="Z102"/>
  <c r="Z104"/>
  <c r="Z190"/>
  <c r="Z192"/>
  <c r="R102"/>
  <c r="N90" i="17"/>
  <c r="N97"/>
  <c r="N95"/>
  <c r="N96"/>
  <c r="N98"/>
  <c r="N101"/>
  <c r="O90"/>
  <c r="O98"/>
  <c r="O101"/>
  <c r="O95"/>
  <c r="O97"/>
  <c r="O96"/>
  <c r="T90"/>
  <c r="T101"/>
  <c r="T95"/>
  <c r="T96"/>
  <c r="T97"/>
  <c r="T98"/>
  <c r="U90"/>
  <c r="U97"/>
  <c r="U98"/>
  <c r="U96"/>
  <c r="U101"/>
  <c r="U95"/>
  <c r="S90"/>
  <c r="S101"/>
  <c r="S95"/>
  <c r="S98"/>
  <c r="S96"/>
  <c r="S97"/>
  <c r="T102" i="21"/>
  <c r="T104"/>
  <c r="T192"/>
  <c r="R104" i="2"/>
  <c r="R190"/>
  <c r="R192"/>
  <c r="D96" i="21"/>
  <c r="D101"/>
  <c r="D98"/>
  <c r="D90"/>
  <c r="D97"/>
  <c r="D95"/>
  <c r="O102"/>
  <c r="O104"/>
  <c r="O192"/>
  <c r="E95"/>
  <c r="E101"/>
  <c r="X80" i="2"/>
  <c r="D86" i="14"/>
  <c r="M90" i="2"/>
  <c r="M97"/>
  <c r="Y97" i="17"/>
  <c r="Y96"/>
  <c r="Y98"/>
  <c r="Y90"/>
  <c r="Y101"/>
  <c r="Y95"/>
  <c r="AS102" i="2"/>
  <c r="AS104"/>
  <c r="AS190"/>
  <c r="AS192"/>
  <c r="E97" i="21"/>
  <c r="G90"/>
  <c r="G95"/>
  <c r="G96"/>
  <c r="G101"/>
  <c r="G98"/>
  <c r="G97"/>
  <c r="AA97" i="2"/>
  <c r="AT102"/>
  <c r="AT104"/>
  <c r="AT190"/>
  <c r="AT192"/>
  <c r="I97" i="17"/>
  <c r="L90"/>
  <c r="L97"/>
  <c r="R101"/>
  <c r="R98"/>
  <c r="R97"/>
  <c r="R95"/>
  <c r="R90"/>
  <c r="R96"/>
  <c r="Q90"/>
  <c r="Q101"/>
  <c r="Q96"/>
  <c r="Q97"/>
  <c r="Q95"/>
  <c r="Q98"/>
  <c r="P102" i="21"/>
  <c r="P104"/>
  <c r="P192"/>
  <c r="AY104" i="2"/>
  <c r="AY190"/>
  <c r="AY192"/>
  <c r="Y102"/>
  <c r="Y104"/>
  <c r="Y190"/>
  <c r="Y192"/>
  <c r="F95" i="21"/>
  <c r="F102"/>
  <c r="F104"/>
  <c r="F190"/>
  <c r="F192"/>
  <c r="AH102"/>
  <c r="AH104"/>
  <c r="AH192"/>
  <c r="E96"/>
  <c r="U90" i="2"/>
  <c r="U96"/>
  <c r="U98"/>
  <c r="U97"/>
  <c r="U95"/>
  <c r="U101"/>
  <c r="AK102"/>
  <c r="AK104"/>
  <c r="AK190"/>
  <c r="AK192"/>
  <c r="F188" i="1"/>
  <c r="T66" i="9"/>
  <c r="L58" i="1"/>
  <c r="O58"/>
  <c r="T32" i="9"/>
  <c r="D102" i="7"/>
  <c r="D104"/>
  <c r="D191"/>
  <c r="C104"/>
  <c r="J96" i="17"/>
  <c r="J95"/>
  <c r="J101"/>
  <c r="J98"/>
  <c r="AL101" i="2"/>
  <c r="AA95"/>
  <c r="F167" i="14"/>
  <c r="H167"/>
  <c r="J167"/>
  <c r="D168"/>
  <c r="F125"/>
  <c r="H124"/>
  <c r="J123"/>
  <c r="L122"/>
  <c r="F24" i="12"/>
  <c r="H23"/>
  <c r="J23"/>
  <c r="F53"/>
  <c r="H52"/>
  <c r="J52"/>
  <c r="F8" i="15"/>
  <c r="H8"/>
  <c r="J8"/>
  <c r="L8"/>
  <c r="D9"/>
  <c r="F83" i="12"/>
  <c r="H83"/>
  <c r="J83"/>
  <c r="D84"/>
  <c r="AA96" i="2"/>
  <c r="I98" i="17"/>
  <c r="I96"/>
  <c r="I101"/>
  <c r="I95"/>
  <c r="F32" i="13"/>
  <c r="D33"/>
  <c r="D112"/>
  <c r="F111"/>
  <c r="H111"/>
  <c r="F58" i="15"/>
  <c r="D59"/>
  <c r="F61" i="13"/>
  <c r="H61"/>
  <c r="J61"/>
  <c r="D62"/>
  <c r="F43" i="15"/>
  <c r="D44"/>
  <c r="F104" i="12"/>
  <c r="H103"/>
  <c r="F25" i="14"/>
  <c r="H25"/>
  <c r="D26"/>
  <c r="D10"/>
  <c r="F9"/>
  <c r="H9"/>
  <c r="F46" i="13"/>
  <c r="D47"/>
  <c r="AL95" i="2"/>
  <c r="F40" i="12"/>
  <c r="H39"/>
  <c r="F71"/>
  <c r="H70"/>
  <c r="J70"/>
  <c r="H117"/>
  <c r="J117"/>
  <c r="F118"/>
  <c r="F29" i="15"/>
  <c r="D30"/>
  <c r="D139" i="14"/>
  <c r="F138"/>
  <c r="AA98" i="2"/>
  <c r="AA101"/>
  <c r="H45" i="14"/>
  <c r="J45"/>
  <c r="AM97" i="2"/>
  <c r="AL96"/>
  <c r="AL98"/>
  <c r="D47" i="14"/>
  <c r="V80" i="2"/>
  <c r="V90"/>
  <c r="F46" i="14"/>
  <c r="H46"/>
  <c r="F101" i="2"/>
  <c r="F96"/>
  <c r="F98"/>
  <c r="F95"/>
  <c r="R96" i="9"/>
  <c r="R98"/>
  <c r="R101"/>
  <c r="R95"/>
  <c r="R97"/>
  <c r="R90"/>
  <c r="E80"/>
  <c r="T76"/>
  <c r="L76" i="1"/>
  <c r="AL101" i="17"/>
  <c r="AL96"/>
  <c r="AL98"/>
  <c r="AL97"/>
  <c r="D90" i="6"/>
  <c r="D98"/>
  <c r="D101"/>
  <c r="D95"/>
  <c r="D96"/>
  <c r="D97"/>
  <c r="F191" i="7"/>
  <c r="F193"/>
  <c r="E102" i="6"/>
  <c r="E104"/>
  <c r="E191"/>
  <c r="F102" i="9"/>
  <c r="F104"/>
  <c r="H190"/>
  <c r="H192"/>
  <c r="AX101" i="21"/>
  <c r="AX96"/>
  <c r="AX97"/>
  <c r="AX98"/>
  <c r="AX90"/>
  <c r="AX95"/>
  <c r="AX102"/>
  <c r="AX104"/>
  <c r="AX190"/>
  <c r="AX192"/>
  <c r="AH102" i="2"/>
  <c r="AH104"/>
  <c r="AH190"/>
  <c r="AH192"/>
  <c r="BE192"/>
  <c r="M102"/>
  <c r="M104"/>
  <c r="M190"/>
  <c r="M192"/>
  <c r="BC102"/>
  <c r="BC104"/>
  <c r="BC190"/>
  <c r="F193" i="21"/>
  <c r="BJ192" i="2"/>
  <c r="BJ190"/>
  <c r="G191" i="7"/>
  <c r="G193"/>
  <c r="H193"/>
  <c r="H191"/>
  <c r="L102" i="17"/>
  <c r="L104"/>
  <c r="S102"/>
  <c r="S104"/>
  <c r="T102"/>
  <c r="T104"/>
  <c r="N102"/>
  <c r="N104"/>
  <c r="Y102"/>
  <c r="Y104"/>
  <c r="AC102"/>
  <c r="AC104"/>
  <c r="F152" i="14"/>
  <c r="H151"/>
  <c r="J151"/>
  <c r="AE190" i="17"/>
  <c r="AE192"/>
  <c r="X102"/>
  <c r="X104"/>
  <c r="D97"/>
  <c r="AP102" i="21"/>
  <c r="AP104"/>
  <c r="AP190"/>
  <c r="AP192"/>
  <c r="G102"/>
  <c r="G104"/>
  <c r="G190"/>
  <c r="G192"/>
  <c r="X90" i="2"/>
  <c r="X97"/>
  <c r="X96"/>
  <c r="X95"/>
  <c r="X98"/>
  <c r="X101"/>
  <c r="D102" i="21"/>
  <c r="D104"/>
  <c r="D190"/>
  <c r="D192"/>
  <c r="AA102" i="2"/>
  <c r="AA104"/>
  <c r="AA190"/>
  <c r="AA192"/>
  <c r="U102"/>
  <c r="U104"/>
  <c r="U190"/>
  <c r="U192"/>
  <c r="R102" i="17"/>
  <c r="R104"/>
  <c r="O102"/>
  <c r="O104"/>
  <c r="W102"/>
  <c r="W104"/>
  <c r="Q102"/>
  <c r="Q104"/>
  <c r="E102" i="21"/>
  <c r="E104"/>
  <c r="E190"/>
  <c r="E192"/>
  <c r="E193"/>
  <c r="M90" i="17"/>
  <c r="M97"/>
  <c r="E97"/>
  <c r="M96"/>
  <c r="E96"/>
  <c r="M101"/>
  <c r="E101"/>
  <c r="M95"/>
  <c r="M98"/>
  <c r="E98"/>
  <c r="AL102" i="2"/>
  <c r="AL104"/>
  <c r="AL190"/>
  <c r="AL192"/>
  <c r="AN73" i="17"/>
  <c r="F73" i="1"/>
  <c r="D87" i="14"/>
  <c r="D88"/>
  <c r="W80" i="2"/>
  <c r="U102" i="17"/>
  <c r="U104"/>
  <c r="P102"/>
  <c r="P104"/>
  <c r="T184" i="9"/>
  <c r="C186"/>
  <c r="C188"/>
  <c r="T38"/>
  <c r="T68"/>
  <c r="L32" i="1"/>
  <c r="O32"/>
  <c r="O38"/>
  <c r="D193" i="7"/>
  <c r="J102"/>
  <c r="J102" i="17"/>
  <c r="J104"/>
  <c r="I102"/>
  <c r="I104"/>
  <c r="F102" i="2"/>
  <c r="F104"/>
  <c r="F190"/>
  <c r="F192"/>
  <c r="F193"/>
  <c r="L66" i="1"/>
  <c r="D96" i="17"/>
  <c r="D98"/>
  <c r="D101"/>
  <c r="D95"/>
  <c r="AM95" i="2"/>
  <c r="F168" i="14"/>
  <c r="H168"/>
  <c r="J168"/>
  <c r="D169"/>
  <c r="F126"/>
  <c r="H125"/>
  <c r="D85" i="12"/>
  <c r="F84"/>
  <c r="H84"/>
  <c r="J84"/>
  <c r="F9" i="15"/>
  <c r="H9"/>
  <c r="J9"/>
  <c r="L9"/>
  <c r="D10"/>
  <c r="H53" i="12"/>
  <c r="J53"/>
  <c r="F54"/>
  <c r="F25"/>
  <c r="H24"/>
  <c r="J24"/>
  <c r="AM96" i="2"/>
  <c r="AM98"/>
  <c r="D140" i="14"/>
  <c r="D141"/>
  <c r="D142"/>
  <c r="D143"/>
  <c r="F139"/>
  <c r="AM101" i="2"/>
  <c r="J46" i="14"/>
  <c r="D31" i="15"/>
  <c r="F30"/>
  <c r="D63" i="13"/>
  <c r="F62"/>
  <c r="H62"/>
  <c r="J62"/>
  <c r="D60" i="15"/>
  <c r="F59"/>
  <c r="F112" i="13"/>
  <c r="H112"/>
  <c r="D113"/>
  <c r="D11" i="14"/>
  <c r="F10"/>
  <c r="H10"/>
  <c r="F105" i="12"/>
  <c r="H104"/>
  <c r="H137" i="14"/>
  <c r="H118" i="12"/>
  <c r="J118"/>
  <c r="F119"/>
  <c r="F72"/>
  <c r="H72"/>
  <c r="J72"/>
  <c r="H71"/>
  <c r="J71"/>
  <c r="F41"/>
  <c r="H40"/>
  <c r="F47" i="13"/>
  <c r="D48"/>
  <c r="D27" i="14"/>
  <c r="F26"/>
  <c r="H26"/>
  <c r="D45" i="15"/>
  <c r="F44"/>
  <c r="F33" i="13"/>
  <c r="D34"/>
  <c r="D48" i="14"/>
  <c r="F47"/>
  <c r="T77" i="9"/>
  <c r="L77" i="1"/>
  <c r="C80" i="9"/>
  <c r="BL102" i="2"/>
  <c r="BL104"/>
  <c r="D191" i="10"/>
  <c r="F190" i="9"/>
  <c r="F192"/>
  <c r="D102" i="6"/>
  <c r="D104"/>
  <c r="D191"/>
  <c r="R102" i="9"/>
  <c r="R104"/>
  <c r="F191" i="10"/>
  <c r="AL95" i="17"/>
  <c r="AL102"/>
  <c r="AL104"/>
  <c r="E191" i="10"/>
  <c r="E98" i="9"/>
  <c r="E101"/>
  <c r="E90"/>
  <c r="E95"/>
  <c r="E97"/>
  <c r="E96"/>
  <c r="X102" i="2"/>
  <c r="X104"/>
  <c r="X190"/>
  <c r="X192"/>
  <c r="BC192"/>
  <c r="U192" i="17"/>
  <c r="U190"/>
  <c r="N192"/>
  <c r="N190"/>
  <c r="Y192"/>
  <c r="Y190"/>
  <c r="I192"/>
  <c r="I190"/>
  <c r="W192"/>
  <c r="W190"/>
  <c r="J192"/>
  <c r="J190"/>
  <c r="O192"/>
  <c r="O190"/>
  <c r="X192"/>
  <c r="X190"/>
  <c r="R192"/>
  <c r="R190"/>
  <c r="P192"/>
  <c r="P190"/>
  <c r="L192"/>
  <c r="L190"/>
  <c r="S192"/>
  <c r="S190"/>
  <c r="Q192"/>
  <c r="Q190"/>
  <c r="T192"/>
  <c r="T190"/>
  <c r="AC192"/>
  <c r="AC190"/>
  <c r="F153" i="14"/>
  <c r="H152"/>
  <c r="J152"/>
  <c r="AM102" i="2"/>
  <c r="AM104"/>
  <c r="AM190"/>
  <c r="AM192"/>
  <c r="N80"/>
  <c r="D193" i="21"/>
  <c r="W90" i="2"/>
  <c r="W97"/>
  <c r="W95"/>
  <c r="W96"/>
  <c r="W98"/>
  <c r="W101"/>
  <c r="D89" i="14"/>
  <c r="M102" i="17"/>
  <c r="M104"/>
  <c r="E95"/>
  <c r="E102"/>
  <c r="E104"/>
  <c r="L184" i="1"/>
  <c r="O184"/>
  <c r="L38"/>
  <c r="J104" i="7"/>
  <c r="D102" i="17"/>
  <c r="D104"/>
  <c r="D190"/>
  <c r="F127" i="14"/>
  <c r="D170"/>
  <c r="F169"/>
  <c r="H169"/>
  <c r="J169"/>
  <c r="H126"/>
  <c r="J124"/>
  <c r="L123"/>
  <c r="F55" i="12"/>
  <c r="H54"/>
  <c r="J54"/>
  <c r="D86"/>
  <c r="F85"/>
  <c r="H85"/>
  <c r="J85"/>
  <c r="F26"/>
  <c r="H25"/>
  <c r="J25"/>
  <c r="D11" i="15"/>
  <c r="F10"/>
  <c r="F34" i="13"/>
  <c r="D35"/>
  <c r="F48"/>
  <c r="D49"/>
  <c r="F60" i="15"/>
  <c r="D61"/>
  <c r="H47" i="14"/>
  <c r="H119" i="12"/>
  <c r="J119"/>
  <c r="F120"/>
  <c r="F63" i="13"/>
  <c r="H63"/>
  <c r="J63"/>
  <c r="D64"/>
  <c r="F27" i="14"/>
  <c r="H27"/>
  <c r="D28"/>
  <c r="F42" i="12"/>
  <c r="H41"/>
  <c r="H105"/>
  <c r="F106"/>
  <c r="D32" i="15"/>
  <c r="F31"/>
  <c r="H138" i="14"/>
  <c r="F140"/>
  <c r="F45" i="15"/>
  <c r="D46"/>
  <c r="E97" i="3"/>
  <c r="D12" i="14"/>
  <c r="F11"/>
  <c r="H11"/>
  <c r="F113" i="13"/>
  <c r="H113"/>
  <c r="D114"/>
  <c r="D49" i="14"/>
  <c r="F48"/>
  <c r="H48"/>
  <c r="J48"/>
  <c r="H10" i="15"/>
  <c r="J10"/>
  <c r="L10"/>
  <c r="G79" i="23"/>
  <c r="E102" i="9"/>
  <c r="E104"/>
  <c r="C90"/>
  <c r="C95"/>
  <c r="C97"/>
  <c r="C101"/>
  <c r="C98"/>
  <c r="C96"/>
  <c r="AL190" i="17"/>
  <c r="AL192"/>
  <c r="M192"/>
  <c r="M190"/>
  <c r="F128" i="14"/>
  <c r="F129"/>
  <c r="F154"/>
  <c r="H153"/>
  <c r="J153"/>
  <c r="W102" i="2"/>
  <c r="W104"/>
  <c r="W190"/>
  <c r="W192"/>
  <c r="C80" i="3"/>
  <c r="AA72" i="17"/>
  <c r="AA80"/>
  <c r="BA72" i="2"/>
  <c r="BA80"/>
  <c r="AN72" i="21"/>
  <c r="AN80"/>
  <c r="D80" i="3"/>
  <c r="AO75" i="21"/>
  <c r="AB75" i="17"/>
  <c r="F80"/>
  <c r="F90"/>
  <c r="H80" i="2"/>
  <c r="H90"/>
  <c r="E190" i="17"/>
  <c r="E192"/>
  <c r="N90" i="2"/>
  <c r="N97"/>
  <c r="N96"/>
  <c r="N101"/>
  <c r="N95"/>
  <c r="N98"/>
  <c r="J47" i="14"/>
  <c r="AF80" i="2"/>
  <c r="AF90"/>
  <c r="H80" i="21"/>
  <c r="AC80" i="2"/>
  <c r="AB80"/>
  <c r="D90" i="14"/>
  <c r="D192" i="17"/>
  <c r="D193"/>
  <c r="L68" i="1"/>
  <c r="J193" i="7"/>
  <c r="J191"/>
  <c r="F170" i="14"/>
  <c r="H170"/>
  <c r="J170"/>
  <c r="D171"/>
  <c r="J125"/>
  <c r="L124"/>
  <c r="H127"/>
  <c r="D12" i="15"/>
  <c r="F11"/>
  <c r="H11"/>
  <c r="J11"/>
  <c r="L11"/>
  <c r="H26" i="12"/>
  <c r="J26"/>
  <c r="F27"/>
  <c r="D87"/>
  <c r="F86"/>
  <c r="H86"/>
  <c r="J86"/>
  <c r="H55"/>
  <c r="J55"/>
  <c r="F56"/>
  <c r="F43"/>
  <c r="H43"/>
  <c r="H42"/>
  <c r="H120"/>
  <c r="J120"/>
  <c r="F121"/>
  <c r="H121"/>
  <c r="J121"/>
  <c r="F141" i="14"/>
  <c r="H139"/>
  <c r="F32" i="15"/>
  <c r="D33"/>
  <c r="F33"/>
  <c r="F64" i="13"/>
  <c r="H64"/>
  <c r="J64"/>
  <c r="D65"/>
  <c r="D50"/>
  <c r="F49"/>
  <c r="F46" i="15"/>
  <c r="D47"/>
  <c r="F12" i="14"/>
  <c r="H12"/>
  <c r="D13"/>
  <c r="F13"/>
  <c r="H13"/>
  <c r="D62" i="15"/>
  <c r="F62"/>
  <c r="F61"/>
  <c r="F35" i="13"/>
  <c r="D36"/>
  <c r="F36"/>
  <c r="F114"/>
  <c r="H114"/>
  <c r="D115"/>
  <c r="F115"/>
  <c r="H115"/>
  <c r="E101" i="3"/>
  <c r="E96"/>
  <c r="E98"/>
  <c r="E95"/>
  <c r="BN77" i="2"/>
  <c r="C77" i="1"/>
  <c r="O77"/>
  <c r="F107" i="12"/>
  <c r="H106"/>
  <c r="D29" i="14"/>
  <c r="F28"/>
  <c r="H28"/>
  <c r="D50"/>
  <c r="F49"/>
  <c r="H49"/>
  <c r="J49"/>
  <c r="AN72" i="17"/>
  <c r="E193"/>
  <c r="C102" i="9"/>
  <c r="C104"/>
  <c r="C190"/>
  <c r="F87" i="12"/>
  <c r="H87"/>
  <c r="J87"/>
  <c r="D88"/>
  <c r="AZ72" i="21"/>
  <c r="E190" i="9"/>
  <c r="E192"/>
  <c r="N102" i="2"/>
  <c r="N104"/>
  <c r="N190"/>
  <c r="N192"/>
  <c r="BA90"/>
  <c r="BA95"/>
  <c r="BA101"/>
  <c r="BA98"/>
  <c r="BA97"/>
  <c r="BA96"/>
  <c r="BN75"/>
  <c r="C75" i="1"/>
  <c r="H154" i="14"/>
  <c r="J154"/>
  <c r="F155"/>
  <c r="D90" i="3"/>
  <c r="D101"/>
  <c r="D97"/>
  <c r="D96"/>
  <c r="D95"/>
  <c r="D98"/>
  <c r="C90"/>
  <c r="C97"/>
  <c r="C101"/>
  <c r="C98"/>
  <c r="C96"/>
  <c r="C95"/>
  <c r="F80"/>
  <c r="F96"/>
  <c r="AQ76" i="21"/>
  <c r="AD76" i="17"/>
  <c r="AO80" i="21"/>
  <c r="AZ75"/>
  <c r="I75" i="1"/>
  <c r="AA90" i="17"/>
  <c r="AA101"/>
  <c r="AA97"/>
  <c r="AA98"/>
  <c r="AA95"/>
  <c r="AA96"/>
  <c r="BN72" i="2"/>
  <c r="C72" i="1"/>
  <c r="AB80" i="17"/>
  <c r="AN75"/>
  <c r="F75" i="1"/>
  <c r="AN90" i="21"/>
  <c r="AN95"/>
  <c r="AN96"/>
  <c r="AN97"/>
  <c r="AN98"/>
  <c r="AN101"/>
  <c r="O80" i="2"/>
  <c r="O90"/>
  <c r="AB90"/>
  <c r="AB97"/>
  <c r="AB101"/>
  <c r="AB98"/>
  <c r="AB95"/>
  <c r="AB96"/>
  <c r="AC90"/>
  <c r="AC97"/>
  <c r="AC95"/>
  <c r="AC98"/>
  <c r="AC101"/>
  <c r="AC96"/>
  <c r="F72" i="1"/>
  <c r="E102" i="3"/>
  <c r="E104"/>
  <c r="E191"/>
  <c r="I72" i="1"/>
  <c r="D91" i="14"/>
  <c r="D92"/>
  <c r="H90" i="21"/>
  <c r="H101"/>
  <c r="H95"/>
  <c r="H98"/>
  <c r="H97"/>
  <c r="H96"/>
  <c r="G80" i="2"/>
  <c r="G90"/>
  <c r="F97" i="17"/>
  <c r="F95"/>
  <c r="F96"/>
  <c r="F101"/>
  <c r="F98"/>
  <c r="H128" i="14"/>
  <c r="J126"/>
  <c r="L125"/>
  <c r="F171"/>
  <c r="H171"/>
  <c r="J171"/>
  <c r="D172"/>
  <c r="F172"/>
  <c r="H172"/>
  <c r="J172"/>
  <c r="F12" i="15"/>
  <c r="H12"/>
  <c r="J12"/>
  <c r="L12"/>
  <c r="D13"/>
  <c r="H107" i="12"/>
  <c r="F57"/>
  <c r="H57"/>
  <c r="J57"/>
  <c r="H56"/>
  <c r="J56"/>
  <c r="F28"/>
  <c r="H28"/>
  <c r="J28"/>
  <c r="H27"/>
  <c r="J27"/>
  <c r="H97" i="2"/>
  <c r="D80" i="8"/>
  <c r="D48" i="15"/>
  <c r="F48"/>
  <c r="F47"/>
  <c r="F65" i="13"/>
  <c r="H65"/>
  <c r="J65"/>
  <c r="D66"/>
  <c r="H140" i="14"/>
  <c r="F142"/>
  <c r="F50" i="13"/>
  <c r="D51"/>
  <c r="F51"/>
  <c r="D30" i="14"/>
  <c r="F29"/>
  <c r="H29"/>
  <c r="D51"/>
  <c r="F50"/>
  <c r="H50"/>
  <c r="J50"/>
  <c r="C192" i="9"/>
  <c r="F13" i="15"/>
  <c r="D14"/>
  <c r="F88" i="12"/>
  <c r="H88"/>
  <c r="J88"/>
  <c r="D89"/>
  <c r="F98" i="3"/>
  <c r="O75" i="1"/>
  <c r="D90" i="8"/>
  <c r="AO98" i="21"/>
  <c r="AO90"/>
  <c r="AO101"/>
  <c r="AO96"/>
  <c r="AO97"/>
  <c r="AO95"/>
  <c r="F90" i="3"/>
  <c r="F97"/>
  <c r="D102"/>
  <c r="D104"/>
  <c r="D191"/>
  <c r="BB90" i="2"/>
  <c r="F101" i="3"/>
  <c r="BN76" i="2"/>
  <c r="C76" i="1"/>
  <c r="C102" i="3"/>
  <c r="C104"/>
  <c r="H155" i="14"/>
  <c r="J155"/>
  <c r="F156"/>
  <c r="AB96" i="17"/>
  <c r="AB101"/>
  <c r="AB95"/>
  <c r="AB97"/>
  <c r="AB90"/>
  <c r="AB98"/>
  <c r="AQ80" i="21"/>
  <c r="AZ76"/>
  <c r="I76" i="1"/>
  <c r="I80"/>
  <c r="I90"/>
  <c r="AN102" i="21"/>
  <c r="AN104"/>
  <c r="AN190"/>
  <c r="AN192"/>
  <c r="F95" i="3"/>
  <c r="F102"/>
  <c r="AA102" i="17"/>
  <c r="AA104"/>
  <c r="AD80"/>
  <c r="AN76"/>
  <c r="BA102" i="2"/>
  <c r="BA104"/>
  <c r="S80"/>
  <c r="E74"/>
  <c r="AB102"/>
  <c r="AB104"/>
  <c r="AB190"/>
  <c r="AB192"/>
  <c r="H102" i="21"/>
  <c r="H104"/>
  <c r="H190"/>
  <c r="H192"/>
  <c r="A192"/>
  <c r="D93" i="14"/>
  <c r="D94"/>
  <c r="D95"/>
  <c r="D96"/>
  <c r="D97"/>
  <c r="D98"/>
  <c r="D99"/>
  <c r="D100"/>
  <c r="D101"/>
  <c r="D177"/>
  <c r="D178"/>
  <c r="D179"/>
  <c r="K80" i="2"/>
  <c r="AC102"/>
  <c r="AC104"/>
  <c r="AC190"/>
  <c r="AC192"/>
  <c r="F102" i="17"/>
  <c r="F104"/>
  <c r="F190"/>
  <c r="G97" i="2"/>
  <c r="C96" i="6"/>
  <c r="G96"/>
  <c r="G80"/>
  <c r="C97"/>
  <c r="G97"/>
  <c r="D98" i="8"/>
  <c r="D97"/>
  <c r="D95"/>
  <c r="H129" i="14"/>
  <c r="J127"/>
  <c r="L126"/>
  <c r="H101" i="2"/>
  <c r="H98"/>
  <c r="H96"/>
  <c r="H95"/>
  <c r="G96"/>
  <c r="G98"/>
  <c r="G101"/>
  <c r="G95"/>
  <c r="F66" i="13"/>
  <c r="H66"/>
  <c r="J66"/>
  <c r="D67"/>
  <c r="G98" i="23"/>
  <c r="D101" i="8"/>
  <c r="D96"/>
  <c r="H141" i="14"/>
  <c r="F143"/>
  <c r="C101" i="6"/>
  <c r="G101"/>
  <c r="C95"/>
  <c r="G90"/>
  <c r="C98"/>
  <c r="G98"/>
  <c r="D31" i="14"/>
  <c r="F30"/>
  <c r="H30"/>
  <c r="D52"/>
  <c r="F51"/>
  <c r="H51"/>
  <c r="V97" i="2"/>
  <c r="D15" i="15"/>
  <c r="F14"/>
  <c r="H14"/>
  <c r="J14"/>
  <c r="L14"/>
  <c r="H13"/>
  <c r="J13"/>
  <c r="L13"/>
  <c r="I79" i="23"/>
  <c r="F89" i="12"/>
  <c r="H89"/>
  <c r="J89"/>
  <c r="D90"/>
  <c r="BB102" i="2"/>
  <c r="BB104"/>
  <c r="BB190"/>
  <c r="AZ80" i="21"/>
  <c r="AZ90"/>
  <c r="G95" i="6"/>
  <c r="C102"/>
  <c r="C104"/>
  <c r="D102" i="8"/>
  <c r="BI102" i="2"/>
  <c r="BI104"/>
  <c r="AB102" i="17"/>
  <c r="AB104"/>
  <c r="AB192"/>
  <c r="AD101"/>
  <c r="AN101"/>
  <c r="F101" i="1"/>
  <c r="AD90" i="17"/>
  <c r="AD98"/>
  <c r="AN98"/>
  <c r="F98" i="1"/>
  <c r="AD96" i="17"/>
  <c r="AN96"/>
  <c r="F96" i="1"/>
  <c r="AD95" i="17"/>
  <c r="AN95"/>
  <c r="AD97"/>
  <c r="F104" i="3"/>
  <c r="F191"/>
  <c r="BA192" i="2"/>
  <c r="BA190"/>
  <c r="AO102" i="21"/>
  <c r="AO104"/>
  <c r="AO190"/>
  <c r="AO192"/>
  <c r="AQ96"/>
  <c r="AZ96"/>
  <c r="I96" i="1"/>
  <c r="AQ90" i="21"/>
  <c r="AQ95"/>
  <c r="AZ95"/>
  <c r="AQ98"/>
  <c r="AZ98"/>
  <c r="I98" i="1"/>
  <c r="AQ101" i="21"/>
  <c r="AZ101"/>
  <c r="I101" i="1"/>
  <c r="AQ97" i="21"/>
  <c r="AA190" i="17"/>
  <c r="AA192"/>
  <c r="F76" i="1"/>
  <c r="F80"/>
  <c r="F90"/>
  <c r="AN80" i="17"/>
  <c r="AN90"/>
  <c r="H156" i="14"/>
  <c r="J156"/>
  <c r="F157"/>
  <c r="BD90" i="2"/>
  <c r="K90"/>
  <c r="K97"/>
  <c r="K96"/>
  <c r="K95"/>
  <c r="K98"/>
  <c r="K101"/>
  <c r="D180" i="14"/>
  <c r="D181"/>
  <c r="D182"/>
  <c r="D183"/>
  <c r="D184"/>
  <c r="D185"/>
  <c r="D186"/>
  <c r="S90" i="2"/>
  <c r="S97"/>
  <c r="S98"/>
  <c r="S96"/>
  <c r="S101"/>
  <c r="S95"/>
  <c r="D74"/>
  <c r="BN74"/>
  <c r="C74" i="1"/>
  <c r="O74"/>
  <c r="AN61" i="17"/>
  <c r="G102" i="2"/>
  <c r="G104"/>
  <c r="G190"/>
  <c r="G192"/>
  <c r="H102"/>
  <c r="H104"/>
  <c r="H190"/>
  <c r="H192"/>
  <c r="J128" i="14"/>
  <c r="L127"/>
  <c r="J129"/>
  <c r="L128"/>
  <c r="L129"/>
  <c r="D68" i="13"/>
  <c r="F67"/>
  <c r="H67"/>
  <c r="J67"/>
  <c r="H142" i="14"/>
  <c r="H143"/>
  <c r="D32"/>
  <c r="F31"/>
  <c r="H31"/>
  <c r="J51"/>
  <c r="V96" i="2"/>
  <c r="V101"/>
  <c r="V98"/>
  <c r="V95"/>
  <c r="D53" i="14"/>
  <c r="J80" i="2"/>
  <c r="J90"/>
  <c r="F52" i="14"/>
  <c r="C72" i="8"/>
  <c r="K79" i="23"/>
  <c r="D16" i="15"/>
  <c r="F15"/>
  <c r="H15"/>
  <c r="J15"/>
  <c r="L15"/>
  <c r="F90" i="12"/>
  <c r="H90"/>
  <c r="J90"/>
  <c r="D91"/>
  <c r="AB190" i="17"/>
  <c r="BB192" i="2"/>
  <c r="BD102"/>
  <c r="BD104"/>
  <c r="BD190"/>
  <c r="K102"/>
  <c r="K104"/>
  <c r="K190"/>
  <c r="K192"/>
  <c r="O76" i="1"/>
  <c r="BI190" i="2"/>
  <c r="BI192"/>
  <c r="I95" i="1"/>
  <c r="F95"/>
  <c r="AQ102" i="21"/>
  <c r="AQ104"/>
  <c r="AQ190"/>
  <c r="AQ192"/>
  <c r="AZ97"/>
  <c r="I97" i="1"/>
  <c r="F158" i="14"/>
  <c r="H158"/>
  <c r="J158"/>
  <c r="H157"/>
  <c r="J157"/>
  <c r="AD102" i="17"/>
  <c r="AD104"/>
  <c r="AN97"/>
  <c r="F97" i="1"/>
  <c r="AP80" i="2"/>
  <c r="E73"/>
  <c r="E80"/>
  <c r="E90"/>
  <c r="S102"/>
  <c r="S104"/>
  <c r="S190"/>
  <c r="S192"/>
  <c r="V102"/>
  <c r="V104"/>
  <c r="V190"/>
  <c r="V192"/>
  <c r="F66" i="17"/>
  <c r="F68"/>
  <c r="F192"/>
  <c r="AN66"/>
  <c r="AN68"/>
  <c r="F61" i="1"/>
  <c r="O61"/>
  <c r="O66"/>
  <c r="O68"/>
  <c r="G104" i="6"/>
  <c r="G102"/>
  <c r="D104" i="8"/>
  <c r="D33" i="14"/>
  <c r="F32"/>
  <c r="H32"/>
  <c r="F68" i="13"/>
  <c r="H68"/>
  <c r="J68"/>
  <c r="D69"/>
  <c r="J97" i="2"/>
  <c r="D73"/>
  <c r="H52" i="14"/>
  <c r="D54"/>
  <c r="F53"/>
  <c r="BD192" i="2"/>
  <c r="D17" i="15"/>
  <c r="F16"/>
  <c r="H16"/>
  <c r="J16"/>
  <c r="L16"/>
  <c r="G72" i="9"/>
  <c r="G80"/>
  <c r="H72" i="8"/>
  <c r="C80"/>
  <c r="F91" i="12"/>
  <c r="H91"/>
  <c r="J91"/>
  <c r="D92"/>
  <c r="F92"/>
  <c r="H92"/>
  <c r="J92"/>
  <c r="BN73" i="2"/>
  <c r="BN80"/>
  <c r="BN90"/>
  <c r="AN102" i="17"/>
  <c r="AN104"/>
  <c r="AN190"/>
  <c r="AN192"/>
  <c r="I102" i="1"/>
  <c r="I104"/>
  <c r="AD192" i="17"/>
  <c r="AD190"/>
  <c r="F102" i="1"/>
  <c r="F104"/>
  <c r="F190"/>
  <c r="AZ102" i="21"/>
  <c r="AZ104"/>
  <c r="AZ190"/>
  <c r="AZ192"/>
  <c r="AP90" i="2"/>
  <c r="AP95"/>
  <c r="AP97"/>
  <c r="AP96"/>
  <c r="AP101"/>
  <c r="AP98"/>
  <c r="D80"/>
  <c r="D90"/>
  <c r="F66" i="1"/>
  <c r="D70" i="13"/>
  <c r="F69"/>
  <c r="H69"/>
  <c r="J69"/>
  <c r="F33" i="14"/>
  <c r="H33"/>
  <c r="D34"/>
  <c r="F34"/>
  <c r="H34"/>
  <c r="H53"/>
  <c r="J53"/>
  <c r="AG97" i="2"/>
  <c r="J52" i="14"/>
  <c r="AF97" i="2"/>
  <c r="D55" i="14"/>
  <c r="F54"/>
  <c r="H54"/>
  <c r="J54"/>
  <c r="J95" i="2"/>
  <c r="J101"/>
  <c r="J96"/>
  <c r="J98"/>
  <c r="G95" i="9"/>
  <c r="G96"/>
  <c r="G98"/>
  <c r="G97"/>
  <c r="G90"/>
  <c r="G101"/>
  <c r="C90" i="8"/>
  <c r="H90"/>
  <c r="C101"/>
  <c r="H101"/>
  <c r="C96"/>
  <c r="H96"/>
  <c r="C98"/>
  <c r="H98"/>
  <c r="C97"/>
  <c r="H97"/>
  <c r="C95"/>
  <c r="H80"/>
  <c r="D18" i="15"/>
  <c r="F18"/>
  <c r="H18"/>
  <c r="J18"/>
  <c r="L18"/>
  <c r="F17"/>
  <c r="H17"/>
  <c r="J17"/>
  <c r="L17"/>
  <c r="C73" i="1"/>
  <c r="O73"/>
  <c r="D97" i="2"/>
  <c r="BK102"/>
  <c r="BK104"/>
  <c r="BK192"/>
  <c r="I190" i="1"/>
  <c r="I192"/>
  <c r="AP102" i="2"/>
  <c r="AP104"/>
  <c r="AP190"/>
  <c r="AP192"/>
  <c r="J102"/>
  <c r="J104"/>
  <c r="J190"/>
  <c r="J192"/>
  <c r="F68" i="1"/>
  <c r="F70" i="13"/>
  <c r="H70"/>
  <c r="J70"/>
  <c r="D71"/>
  <c r="AF96" i="2"/>
  <c r="AF101"/>
  <c r="AF95"/>
  <c r="AF98"/>
  <c r="AG101"/>
  <c r="AG98"/>
  <c r="AG96"/>
  <c r="AG95"/>
  <c r="O97"/>
  <c r="E97"/>
  <c r="D56" i="14"/>
  <c r="F55"/>
  <c r="H55"/>
  <c r="J55"/>
  <c r="D96" i="2"/>
  <c r="D101"/>
  <c r="D95"/>
  <c r="D98"/>
  <c r="C102" i="8"/>
  <c r="H95"/>
  <c r="G102" i="9"/>
  <c r="G104"/>
  <c r="K98" i="23"/>
  <c r="BN97" i="2"/>
  <c r="C97" i="1"/>
  <c r="O72" i="9"/>
  <c r="H72" i="11"/>
  <c r="BK190" i="2"/>
  <c r="AF102"/>
  <c r="AF104"/>
  <c r="AF190"/>
  <c r="AF192"/>
  <c r="AG102"/>
  <c r="AG104"/>
  <c r="AG190"/>
  <c r="AG192"/>
  <c r="D102"/>
  <c r="D104"/>
  <c r="D190"/>
  <c r="D192"/>
  <c r="D193"/>
  <c r="D72" i="13"/>
  <c r="F71"/>
  <c r="H71"/>
  <c r="J71"/>
  <c r="D57" i="14"/>
  <c r="F56"/>
  <c r="H56"/>
  <c r="J56"/>
  <c r="O96" i="2"/>
  <c r="E96"/>
  <c r="BN96"/>
  <c r="C96" i="1"/>
  <c r="O98" i="2"/>
  <c r="E98"/>
  <c r="BN98"/>
  <c r="C98" i="1"/>
  <c r="O95" i="2"/>
  <c r="O101"/>
  <c r="E101"/>
  <c r="BN101"/>
  <c r="C101" i="1"/>
  <c r="G190" i="9"/>
  <c r="G192"/>
  <c r="C104" i="8"/>
  <c r="H102"/>
  <c r="O80" i="9"/>
  <c r="T72"/>
  <c r="O102" i="2"/>
  <c r="O104"/>
  <c r="O190"/>
  <c r="O192"/>
  <c r="E95"/>
  <c r="BN95"/>
  <c r="C95" i="1"/>
  <c r="F72" i="13"/>
  <c r="H72"/>
  <c r="J72"/>
  <c r="D73"/>
  <c r="D58" i="14"/>
  <c r="F57"/>
  <c r="H57"/>
  <c r="J57"/>
  <c r="C191" i="8"/>
  <c r="H104"/>
  <c r="L72" i="1"/>
  <c r="O72"/>
  <c r="O80"/>
  <c r="O90"/>
  <c r="T80" i="9"/>
  <c r="T90"/>
  <c r="O90"/>
  <c r="O96"/>
  <c r="T96"/>
  <c r="L96" i="1"/>
  <c r="O96"/>
  <c r="O95" i="9"/>
  <c r="O101"/>
  <c r="T101"/>
  <c r="L101" i="1"/>
  <c r="O101"/>
  <c r="O97" i="9"/>
  <c r="T97"/>
  <c r="L97" i="1"/>
  <c r="O97"/>
  <c r="O98" i="9"/>
  <c r="T98"/>
  <c r="L98" i="1"/>
  <c r="O98"/>
  <c r="E102" i="2"/>
  <c r="E104"/>
  <c r="E190"/>
  <c r="E192"/>
  <c r="BN102"/>
  <c r="BN104"/>
  <c r="BN190"/>
  <c r="BN192"/>
  <c r="D74" i="13"/>
  <c r="F73"/>
  <c r="H73"/>
  <c r="J73"/>
  <c r="D59" i="14"/>
  <c r="F59"/>
  <c r="H59"/>
  <c r="J59"/>
  <c r="F58"/>
  <c r="H58"/>
  <c r="J58"/>
  <c r="C80" i="1"/>
  <c r="O102" i="9"/>
  <c r="O104"/>
  <c r="T95"/>
  <c r="L80" i="1"/>
  <c r="L90"/>
  <c r="E193" i="2"/>
  <c r="F74" i="13"/>
  <c r="H74"/>
  <c r="J74"/>
  <c r="D75"/>
  <c r="C90" i="1"/>
  <c r="L95"/>
  <c r="O95"/>
  <c r="O102"/>
  <c r="O104"/>
  <c r="T102" i="9"/>
  <c r="T104"/>
  <c r="O190"/>
  <c r="O192"/>
  <c r="C191" i="11"/>
  <c r="D76" i="13"/>
  <c r="F75"/>
  <c r="H75"/>
  <c r="J75"/>
  <c r="C102" i="1"/>
  <c r="C104"/>
  <c r="C190"/>
  <c r="L102"/>
  <c r="D77" i="13"/>
  <c r="F77"/>
  <c r="H77"/>
  <c r="J77"/>
  <c r="F76"/>
  <c r="H76"/>
  <c r="J76"/>
  <c r="L104" i="1"/>
  <c r="C188" i="3"/>
  <c r="C188" i="4"/>
  <c r="C192"/>
  <c r="A192"/>
  <c r="C188" i="17"/>
  <c r="C188" i="2"/>
  <c r="C189" i="7"/>
  <c r="C191"/>
  <c r="C191" i="3"/>
  <c r="A191"/>
  <c r="R185" i="9"/>
  <c r="C193" i="7"/>
  <c r="A193"/>
  <c r="C192" i="17"/>
  <c r="A192"/>
  <c r="C190"/>
  <c r="C190" i="2"/>
  <c r="C192"/>
  <c r="G186" i="6"/>
  <c r="D188" i="11"/>
  <c r="C188" i="10"/>
  <c r="R186" i="9"/>
  <c r="R188"/>
  <c r="T185"/>
  <c r="C191" i="6"/>
  <c r="G188"/>
  <c r="C192" i="5"/>
  <c r="A192"/>
  <c r="D191" i="11"/>
  <c r="H188"/>
  <c r="D188" i="8"/>
  <c r="H186"/>
  <c r="C191" i="10"/>
  <c r="H188"/>
  <c r="R190" i="9"/>
  <c r="R192"/>
  <c r="A192"/>
  <c r="L185" i="1"/>
  <c r="T186" i="9"/>
  <c r="T188"/>
  <c r="A191" i="6"/>
  <c r="G191"/>
  <c r="A191" i="11"/>
  <c r="D191" i="8"/>
  <c r="A191"/>
  <c r="H188"/>
  <c r="H191" i="11"/>
  <c r="A191" i="10"/>
  <c r="H191"/>
  <c r="T192" i="9"/>
  <c r="T190"/>
  <c r="O185" i="1"/>
  <c r="O186"/>
  <c r="O188"/>
  <c r="O192"/>
  <c r="L186"/>
  <c r="L188"/>
  <c r="F192"/>
  <c r="H191" i="8"/>
  <c r="C192" i="1"/>
  <c r="O190"/>
  <c r="L190"/>
  <c r="L192"/>
  <c r="BL188" i="2"/>
  <c r="BL192"/>
  <c r="BL190"/>
</calcChain>
</file>

<file path=xl/comments1.xml><?xml version="1.0" encoding="utf-8"?>
<comments xmlns="http://schemas.openxmlformats.org/spreadsheetml/2006/main">
  <authors>
    <author>Sean Wilson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Assumes 80 students in the middle school program and a scaled back LS program, 230 students</t>
        </r>
      </text>
    </comment>
  </commentList>
</comments>
</file>

<file path=xl/comments10.xml><?xml version="1.0" encoding="utf-8"?>
<comments xmlns="http://schemas.openxmlformats.org/spreadsheetml/2006/main">
  <authors>
    <author>jkurtz</author>
    <author>Jennifer Kurtz</author>
  </authors>
  <commentList>
    <comment ref="D114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Al's Pest Control ($3900), ITS Fire ($3500), Consulting ($1,000), Fire Extinguisher ($600), Miscellaneous Insepctions ($500)</t>
        </r>
      </text>
    </comment>
    <comment ref="D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Siemens ($32,274), $12K general repairs
</t>
        </r>
      </text>
    </comment>
    <comment ref="E130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Modular Installation ($150K)</t>
        </r>
      </text>
    </comment>
    <comment ref="E131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HNM Lease, Modular Lease</t>
        </r>
      </text>
    </comment>
    <comment ref="F138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Assumed an average of the other two campuses
</t>
        </r>
      </text>
    </comment>
  </commentList>
</comments>
</file>

<file path=xl/comments11.xml><?xml version="1.0" encoding="utf-8"?>
<comments xmlns="http://schemas.openxmlformats.org/spreadsheetml/2006/main">
  <authors>
    <author>Sean Wilson</author>
    <author>Jennifer Kurtz</author>
    <author>jkurtz</author>
  </authors>
  <commentList>
    <comment ref="D72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Approimately 6 months Salary</t>
        </r>
      </text>
    </comment>
    <comment ref="G77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Finance/Data - School Site
</t>
        </r>
      </text>
    </comment>
    <comment ref="H77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Finance/Data - School Site</t>
        </r>
      </text>
    </comment>
    <comment ref="C110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$2K for PowerSchool Training</t>
        </r>
      </text>
    </comment>
    <comment ref="E113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Financial Audit, Federal Single Audit, Form 990, 5500 Audit
$7,500 Audit for JP</t>
        </r>
      </text>
    </comment>
    <comment ref="E126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Shredding services
</t>
        </r>
      </text>
    </comment>
    <comment ref="C159" authorId="2">
      <text>
        <r>
          <rPr>
            <b/>
            <sz val="8"/>
            <color indexed="81"/>
            <rFont val="Tahoma"/>
            <family val="2"/>
          </rPr>
          <t xml:space="preserve">jkurtz:
</t>
        </r>
        <r>
          <rPr>
            <sz val="8"/>
            <color indexed="81"/>
            <rFont val="Tahoma"/>
            <family val="2"/>
          </rPr>
          <t>PowerSchool</t>
        </r>
      </text>
    </comment>
    <comment ref="E175" authorId="2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$12K Bank analysis and credit card processing fees, $300 misc dues</t>
        </r>
      </text>
    </comment>
  </commentList>
</comments>
</file>

<file path=xl/comments12.xml><?xml version="1.0" encoding="utf-8"?>
<comments xmlns="http://schemas.openxmlformats.org/spreadsheetml/2006/main">
  <authors>
    <author>jkurtz</author>
    <author>Jennifer Kurtz</author>
  </authors>
  <commentList>
    <comment ref="D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Hood cleaning and sprinkler maintenance
</t>
        </r>
      </text>
    </comment>
    <comment ref="E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Hood cleaning?? and sprinkler maintenance
</t>
        </r>
      </text>
    </comment>
    <comment ref="F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Hood cleaning?? and sprinkler maintenance
</t>
        </r>
      </text>
    </comment>
    <comment ref="C13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Vehicle
</t>
        </r>
      </text>
    </comment>
    <comment ref="F158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Added $5,000 for pans, silver ware, etc for opening
</t>
        </r>
      </text>
    </comment>
    <comment ref="C159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$300/qtr software fees
additional costs? Or offsetting EB?</t>
        </r>
      </text>
    </comment>
    <comment ref="F160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Kitchen Equipment to furnish new kitchen?</t>
        </r>
      </text>
    </comment>
  </commentList>
</comments>
</file>

<file path=xl/comments13.xml><?xml version="1.0" encoding="utf-8"?>
<comments xmlns="http://schemas.openxmlformats.org/spreadsheetml/2006/main">
  <authors>
    <author>jkurtz</author>
    <author>Jennifer Kurtz</author>
  </authors>
  <commentList>
    <comment ref="C114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Backup Right, Google Archiving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Backup Right, Google Archiving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Backup Right, Google Archiving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Backup Right, Google Archiving</t>
        </r>
      </text>
    </comment>
    <comment ref="C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D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E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F14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F159" authorId="1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Additional Software Licenses for Add'l Staff</t>
        </r>
      </text>
    </comment>
  </commentList>
</comments>
</file>

<file path=xl/comments2.xml><?xml version="1.0" encoding="utf-8"?>
<comments xmlns="http://schemas.openxmlformats.org/spreadsheetml/2006/main">
  <authors>
    <author>jkurtz</author>
    <author>Sean Wilson</author>
    <author>Jennifer Kurtz</author>
  </authors>
  <commentList>
    <comment ref="AP10" authorId="0">
      <text>
        <r>
          <rPr>
            <b/>
            <sz val="8"/>
            <color indexed="81"/>
            <rFont val="Tahoma"/>
            <family val="2"/>
          </rPr>
          <t xml:space="preserve">jkurtz:
Academic Readiness - Target Language Arts (2)
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FAT Stipends</t>
        </r>
      </text>
    </comment>
    <comment ref="AX73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Hard keyed</t>
        </r>
      </text>
    </comment>
    <comment ref="G77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Family Liaison
Administrative Assistant
MT Admin. Assistant</t>
        </r>
      </text>
    </comment>
    <comment ref="BL114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Backup Right, Google Archiving</t>
        </r>
      </text>
    </comment>
    <comment ref="C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Copier maintenance</t>
        </r>
      </text>
    </comment>
    <comment ref="BK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Hood cleaning and sprinkler maintenance
</t>
        </r>
      </text>
    </comment>
    <comment ref="C132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Oce, Xerox, Hasler</t>
        </r>
      </text>
    </comment>
    <comment ref="BL149" authorId="2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Echo Sign, Sonicwall, Quest
</t>
        </r>
      </text>
    </comment>
    <comment ref="C158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Copy paper and laminating rolls</t>
        </r>
      </text>
    </comment>
    <comment ref="C159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A Net</t>
        </r>
      </text>
    </comment>
    <comment ref="C167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C168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BN175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15%</t>
        </r>
      </text>
    </comment>
  </commentList>
</comments>
</file>

<file path=xl/comments3.xml><?xml version="1.0" encoding="utf-8"?>
<comments xmlns="http://schemas.openxmlformats.org/spreadsheetml/2006/main">
  <authors>
    <author>Sean Wilson</author>
    <author>jkurtz</author>
  </authors>
  <commentList>
    <comment ref="F8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Principal Stipend for Type 2 Schools
To balance Olivier Street, this amount will remain on Camp St.</t>
        </r>
      </text>
    </comment>
    <comment ref="V109" authorId="0">
      <text>
        <r>
          <rPr>
            <b/>
            <sz val="9"/>
            <color indexed="81"/>
            <rFont val="Tahoma"/>
            <charset val="1"/>
          </rPr>
          <t>Sean Wilson:</t>
        </r>
        <r>
          <rPr>
            <sz val="9"/>
            <color indexed="81"/>
            <rFont val="Tahoma"/>
            <charset val="1"/>
          </rPr>
          <t xml:space="preserve">
KidSmart</t>
        </r>
      </text>
    </comment>
    <comment ref="C130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Copier maintenance</t>
        </r>
      </text>
    </comment>
    <comment ref="C158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Copy paper and laminating rolls</t>
        </r>
      </text>
    </comment>
    <comment ref="C159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A Net additional costs for 72 additional users?</t>
        </r>
      </text>
    </comment>
    <comment ref="C167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C168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AN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15%</t>
        </r>
      </text>
    </comment>
    <comment ref="AH19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Need to verify Funding and program Olivier St.</t>
        </r>
      </text>
    </comment>
  </commentList>
</comments>
</file>

<file path=xl/comments4.xml><?xml version="1.0" encoding="utf-8"?>
<comments xmlns="http://schemas.openxmlformats.org/spreadsheetml/2006/main">
  <authors>
    <author>jkurtz</author>
    <author>Sean Wilson</author>
    <author>Jennifer Kurtz</author>
  </authors>
  <commentList>
    <comment ref="AF10" authorId="0">
      <text>
        <r>
          <rPr>
            <b/>
            <sz val="8"/>
            <color indexed="81"/>
            <rFont val="Tahoma"/>
            <family val="2"/>
          </rPr>
          <t>jkurtz:
Academic Readiness</t>
        </r>
      </text>
    </comment>
    <comment ref="C33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School based fundraisers, coffee drive, cookies, fall activity, spring activity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FAT Stipends</t>
        </r>
      </text>
    </comment>
    <comment ref="C43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PCSP Grant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Reception &amp; Family Liaison</t>
        </r>
      </text>
    </comment>
    <comment ref="C130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Copier maintenance</t>
        </r>
      </text>
    </comment>
    <comment ref="C131" authorId="1">
      <text>
        <r>
          <rPr>
            <b/>
            <sz val="9"/>
            <color indexed="81"/>
            <rFont val="Tahoma"/>
            <charset val="1"/>
          </rPr>
          <t>Sean Wilson:</t>
        </r>
        <r>
          <rPr>
            <sz val="9"/>
            <color indexed="81"/>
            <rFont val="Tahoma"/>
            <charset val="1"/>
          </rPr>
          <t xml:space="preserve">
Est. $610 per student</t>
        </r>
      </text>
    </comment>
    <comment ref="C132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Oce, Xerox, Hasler</t>
        </r>
      </text>
    </comment>
    <comment ref="C138" authorId="1">
      <text>
        <r>
          <rPr>
            <b/>
            <sz val="9"/>
            <color indexed="81"/>
            <rFont val="Tahoma"/>
            <charset val="1"/>
          </rPr>
          <t>Sean Wilson:</t>
        </r>
        <r>
          <rPr>
            <sz val="9"/>
            <color indexed="81"/>
            <rFont val="Tahoma"/>
            <charset val="1"/>
          </rPr>
          <t xml:space="preserve">
JP Per student property insruance</t>
        </r>
      </text>
    </comment>
    <comment ref="C158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Copy paper and laminating rolls</t>
        </r>
      </text>
    </comment>
    <comment ref="C159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A Net</t>
        </r>
      </text>
    </comment>
    <comment ref="C160" authorId="2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Furniture that may be needed.</t>
        </r>
      </text>
    </comment>
    <comment ref="C167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C168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Specific needs to be planned and appropriately budgeted</t>
        </r>
      </text>
    </comment>
    <comment ref="AZ175" authorId="1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Management Fee @15%</t>
        </r>
      </text>
    </comment>
  </commentList>
</comments>
</file>

<file path=xl/comments5.xml><?xml version="1.0" encoding="utf-8"?>
<comments xmlns="http://schemas.openxmlformats.org/spreadsheetml/2006/main">
  <authors>
    <author>Sean Wilson</author>
  </authors>
  <commentList>
    <comment ref="C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Board Purchases $15,000
Admissions/Data/Finance Services $10,500
Org.Wide Celebrations $3,000
Council of Parent mtgs $2,000
Mtg meals: $1,500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$35K Charter Assoc, $5K LA Alliance, $1K Misc</t>
        </r>
      </text>
    </comment>
    <comment ref="C18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Contingency 10%</t>
        </r>
      </text>
    </comment>
  </commentList>
</comments>
</file>

<file path=xl/comments6.xml><?xml version="1.0" encoding="utf-8"?>
<comments xmlns="http://schemas.openxmlformats.org/spreadsheetml/2006/main">
  <authors>
    <author>jkurtz</author>
    <author>Sony Customer</author>
    <author>Sean Wilson</author>
  </authors>
  <commentList>
    <comment ref="C73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 Stipends for kindergarten testing</t>
        </r>
      </text>
    </comment>
    <comment ref="D75" authorId="1">
      <text>
        <r>
          <rPr>
            <b/>
            <sz val="8"/>
            <color indexed="81"/>
            <rFont val="Tahoma"/>
            <family val="2"/>
          </rPr>
          <t>Sony Customer:</t>
        </r>
        <r>
          <rPr>
            <sz val="8"/>
            <color indexed="81"/>
            <rFont val="Tahoma"/>
            <family val="2"/>
          </rPr>
          <t xml:space="preserve">
Was $75,000</t>
        </r>
      </text>
    </comment>
    <comment ref="C109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Student observations and testing
</t>
        </r>
      </text>
    </comment>
    <comment ref="D109" authorId="2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External services</t>
        </r>
      </text>
    </comment>
    <comment ref="E109" authorId="2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External services</t>
        </r>
      </text>
    </comment>
    <comment ref="C158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$4000 Wilson Learning, $500 Gessel, $150 misc</t>
        </r>
      </text>
    </comment>
    <comment ref="G159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Book Systems License Fee</t>
        </r>
      </text>
    </comment>
    <comment ref="G169" authorId="0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$500 Magazines, $19/mo T.P.</t>
        </r>
      </text>
    </comment>
  </commentList>
</comments>
</file>

<file path=xl/comments7.xml><?xml version="1.0" encoding="utf-8"?>
<comments xmlns="http://schemas.openxmlformats.org/spreadsheetml/2006/main">
  <authors>
    <author>Sean Wilson</author>
    <author>jkurtz</author>
  </authors>
  <commentList>
    <comment ref="D7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 19 hours per week @$13.50/hr for 36 weeks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Assume 19 hours per week @$13.50/hr for 36 weeks</t>
        </r>
      </text>
    </comment>
    <comment ref="C121" authorId="1">
      <text>
        <r>
          <rPr>
            <b/>
            <sz val="8"/>
            <color indexed="81"/>
            <rFont val="Tahoma"/>
            <family val="2"/>
          </rPr>
          <t>jkurtz:</t>
        </r>
        <r>
          <rPr>
            <sz val="8"/>
            <color indexed="81"/>
            <rFont val="Tahoma"/>
            <family val="2"/>
          </rPr>
          <t xml:space="preserve">
Karate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Extra enrichment activity for students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Extra enrichment activity for students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$40/ per student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$40/ per student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$100/ student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Sean Wilson:</t>
        </r>
        <r>
          <rPr>
            <sz val="9"/>
            <color indexed="81"/>
            <rFont val="Tahoma"/>
            <family val="2"/>
          </rPr>
          <t xml:space="preserve">
$100/ student</t>
        </r>
      </text>
    </comment>
  </commentList>
</comments>
</file>

<file path=xl/comments8.xml><?xml version="1.0" encoding="utf-8"?>
<comments xmlns="http://schemas.openxmlformats.org/spreadsheetml/2006/main">
  <authors>
    <author>Sean Wilson</author>
  </authors>
  <commentList>
    <comment ref="D59" authorId="0">
      <text>
        <r>
          <rPr>
            <b/>
            <sz val="9"/>
            <color indexed="81"/>
            <rFont val="Tahoma"/>
            <charset val="1"/>
          </rPr>
          <t>Sean Wilson:</t>
        </r>
        <r>
          <rPr>
            <sz val="9"/>
            <color indexed="81"/>
            <rFont val="Tahoma"/>
            <charset val="1"/>
          </rPr>
          <t xml:space="preserve">
Olivier assumed portion of CCLC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Sean Wilson:</t>
        </r>
        <r>
          <rPr>
            <sz val="9"/>
            <color indexed="81"/>
            <rFont val="Tahoma"/>
            <charset val="1"/>
          </rPr>
          <t xml:space="preserve">
Grant Maximum total $221,750</t>
        </r>
      </text>
    </comment>
  </commentList>
</comments>
</file>

<file path=xl/comments9.xml><?xml version="1.0" encoding="utf-8"?>
<comments xmlns="http://schemas.openxmlformats.org/spreadsheetml/2006/main">
  <authors>
    <author>Jennifer Kurtz</author>
  </authors>
  <commentList>
    <comment ref="D184" authorId="0">
      <text>
        <r>
          <rPr>
            <b/>
            <sz val="9"/>
            <color indexed="81"/>
            <rFont val="Tahoma"/>
            <family val="2"/>
          </rPr>
          <t>Jennifer Kurtz:</t>
        </r>
        <r>
          <rPr>
            <sz val="9"/>
            <color indexed="81"/>
            <rFont val="Tahoma"/>
            <family val="2"/>
          </rPr>
          <t xml:space="preserve">
Fridge Art Costs</t>
        </r>
      </text>
    </comment>
  </commentList>
</comments>
</file>

<file path=xl/sharedStrings.xml><?xml version="1.0" encoding="utf-8"?>
<sst xmlns="http://schemas.openxmlformats.org/spreadsheetml/2006/main" count="5202" uniqueCount="853">
  <si>
    <t xml:space="preserve">               01-44547</t>
  </si>
  <si>
    <t xml:space="preserve">               01-44549</t>
  </si>
  <si>
    <t>Federal Sources</t>
  </si>
  <si>
    <t xml:space="preserve">               01-44000</t>
  </si>
  <si>
    <t xml:space="preserve">               01-44100</t>
  </si>
  <si>
    <t>Unrestricted Grants in Aid Direct from the Federal Government</t>
  </si>
  <si>
    <t xml:space="preserve">               01-44190</t>
  </si>
  <si>
    <t>Other Restricted Grants</t>
  </si>
  <si>
    <t xml:space="preserve">               01-44500</t>
  </si>
  <si>
    <t>Restricted Grants in Aid from the Federal Government</t>
  </si>
  <si>
    <t xml:space="preserve">               01-44546</t>
  </si>
  <si>
    <t xml:space="preserve">               03-44540</t>
  </si>
  <si>
    <t xml:space="preserve">               01-50112</t>
  </si>
  <si>
    <t xml:space="preserve">               01-50115</t>
  </si>
  <si>
    <t xml:space="preserve">               01-50113</t>
  </si>
  <si>
    <t xml:space="preserve">               01-50118</t>
  </si>
  <si>
    <t xml:space="preserve">               01-50114</t>
  </si>
  <si>
    <t xml:space="preserve">               01-50116</t>
  </si>
  <si>
    <t xml:space="preserve">               01-50117</t>
  </si>
  <si>
    <t xml:space="preserve">               01-50111</t>
  </si>
  <si>
    <t xml:space="preserve">               01-50123</t>
  </si>
  <si>
    <t xml:space="preserve">               01-50119</t>
  </si>
  <si>
    <t xml:space="preserve">               01-50150</t>
  </si>
  <si>
    <t>Stipend Pay</t>
  </si>
  <si>
    <t xml:space="preserve">          Total Regular Salaries</t>
  </si>
  <si>
    <t xml:space="preserve">               01-50210</t>
  </si>
  <si>
    <t xml:space="preserve">               01-50211</t>
  </si>
  <si>
    <t>Social Security Contributions</t>
  </si>
  <si>
    <t xml:space="preserve">               01-50220</t>
  </si>
  <si>
    <t>Meidcare/Medicaid Contributions</t>
  </si>
  <si>
    <t xml:space="preserve">               01-50225</t>
  </si>
  <si>
    <t xml:space="preserve">               01-50230</t>
  </si>
  <si>
    <t>Retirement Contribution</t>
  </si>
  <si>
    <t>Health Insurance</t>
  </si>
  <si>
    <t>Dental Insurance</t>
  </si>
  <si>
    <t>Worker's Compensation Insurancce</t>
  </si>
  <si>
    <t xml:space="preserve">               01-50260</t>
  </si>
  <si>
    <t>Unemployment Compensation</t>
  </si>
  <si>
    <t xml:space="preserve">               01-50250</t>
  </si>
  <si>
    <t xml:space="preserve">               01-50290</t>
  </si>
  <si>
    <t>LTD/STD/Life</t>
  </si>
  <si>
    <t xml:space="preserve">               01-50320</t>
  </si>
  <si>
    <t>Purchased Educational Services</t>
  </si>
  <si>
    <t xml:space="preserve">               01-50321</t>
  </si>
  <si>
    <t xml:space="preserve">               01-52230</t>
  </si>
  <si>
    <t>Instructional Staff Training Services</t>
  </si>
  <si>
    <t xml:space="preserve">               01-50332</t>
  </si>
  <si>
    <t xml:space="preserve">               01-50333</t>
  </si>
  <si>
    <t xml:space="preserve">               01-50340</t>
  </si>
  <si>
    <t>Purchased Technical Services</t>
  </si>
  <si>
    <t>Purchased Official/Administrative Services</t>
  </si>
  <si>
    <t xml:space="preserve">               01-50310</t>
  </si>
  <si>
    <t xml:space="preserve">               01-50330</t>
  </si>
  <si>
    <t>Other Purchased Professional Services</t>
  </si>
  <si>
    <t xml:space="preserve">               01-50622</t>
  </si>
  <si>
    <t xml:space="preserve">               01-50621</t>
  </si>
  <si>
    <t xml:space="preserve">               01-50411</t>
  </si>
  <si>
    <t xml:space="preserve">               01-50421</t>
  </si>
  <si>
    <t xml:space="preserve">               01-50423</t>
  </si>
  <si>
    <t xml:space="preserve">               01-50401</t>
  </si>
  <si>
    <t xml:space="preserve">               01-50430</t>
  </si>
  <si>
    <t>Repairs and Maintenance Services</t>
  </si>
  <si>
    <t xml:space="preserve">               01-50442</t>
  </si>
  <si>
    <t xml:space="preserve">               01-50521</t>
  </si>
  <si>
    <t xml:space="preserve">               01-50522</t>
  </si>
  <si>
    <t xml:space="preserve">               01-50524</t>
  </si>
  <si>
    <t xml:space="preserve">               01-50531</t>
  </si>
  <si>
    <t xml:space="preserve">               01-50535</t>
  </si>
  <si>
    <t xml:space="preserve">               01-50532</t>
  </si>
  <si>
    <t xml:space="preserve">               01-50533</t>
  </si>
  <si>
    <t xml:space="preserve">               01-50534</t>
  </si>
  <si>
    <t xml:space="preserve">               01-50580</t>
  </si>
  <si>
    <t>Travel</t>
  </si>
  <si>
    <t xml:space="preserve">               01-50610</t>
  </si>
  <si>
    <t>Materials and Supplies</t>
  </si>
  <si>
    <t xml:space="preserve">               01-50611</t>
  </si>
  <si>
    <t xml:space="preserve">               01-50631</t>
  </si>
  <si>
    <t xml:space="preserve">               01-50642</t>
  </si>
  <si>
    <t xml:space="preserve">               03-50633</t>
  </si>
  <si>
    <t xml:space="preserve">               03-50632</t>
  </si>
  <si>
    <t xml:space="preserve">               01-50643</t>
  </si>
  <si>
    <t xml:space="preserve">               01-50644</t>
  </si>
  <si>
    <t xml:space="preserve">               01-50322</t>
  </si>
  <si>
    <t xml:space="preserve">               01-50560</t>
  </si>
  <si>
    <t>Tuition</t>
  </si>
  <si>
    <t>Dues &amp; Fees</t>
  </si>
  <si>
    <t xml:space="preserve">               01-50810</t>
  </si>
  <si>
    <t xml:space="preserve">               01-50540</t>
  </si>
  <si>
    <t>Advertising</t>
  </si>
  <si>
    <t xml:space="preserve">               01-50550</t>
  </si>
  <si>
    <t>Printing and Binding</t>
  </si>
  <si>
    <t xml:space="preserve">               01-50710</t>
  </si>
  <si>
    <t>Land and Improvements</t>
  </si>
  <si>
    <t xml:space="preserve">               01-50720</t>
  </si>
  <si>
    <t>Buildings</t>
  </si>
  <si>
    <t xml:space="preserve">               01-50730</t>
  </si>
  <si>
    <t xml:space="preserve">               01-50734</t>
  </si>
  <si>
    <t>Small Equipment (under $5K)</t>
  </si>
  <si>
    <t xml:space="preserve">               01-50740</t>
  </si>
  <si>
    <t>Depreciation</t>
  </si>
  <si>
    <t xml:space="preserve">               01-50891</t>
  </si>
  <si>
    <t xml:space="preserve">               01-50893</t>
  </si>
  <si>
    <t>Recruitment</t>
  </si>
  <si>
    <t>Fingerprinting and Background Checks</t>
  </si>
  <si>
    <t xml:space="preserve">               01-50894</t>
  </si>
  <si>
    <t xml:space="preserve">               01-50831</t>
  </si>
  <si>
    <t xml:space="preserve">               01-50890</t>
  </si>
  <si>
    <t>Miscellaneous Expenses</t>
  </si>
  <si>
    <t>CHIEF OPERATING OFFICER</t>
  </si>
  <si>
    <t>Education</t>
  </si>
  <si>
    <t>Level</t>
  </si>
  <si>
    <t>Cert/ Mast</t>
  </si>
  <si>
    <t>Master +30</t>
  </si>
  <si>
    <t>Ph.D</t>
  </si>
  <si>
    <t>ACCOUNTANT - Assistant CFO</t>
  </si>
  <si>
    <t>Bachelors</t>
  </si>
  <si>
    <t>Masters</t>
  </si>
  <si>
    <t>Accounting Specialist</t>
  </si>
  <si>
    <t>Experience</t>
  </si>
  <si>
    <t>TECHNOLOGY COORDINATOR</t>
  </si>
  <si>
    <t>DEVELOPMENT ADMINISTRATOR</t>
  </si>
  <si>
    <t>ADMINISTRATIVE ASSISTANT (Billing, HR Assoc., Tech. Assistant)</t>
  </si>
  <si>
    <t>Human Resources</t>
  </si>
  <si>
    <t>HEAD OF SCHOOL</t>
  </si>
  <si>
    <t>ADMINISTRATIVE ASSISTANT</t>
  </si>
  <si>
    <t>RECEPTIONIST</t>
  </si>
  <si>
    <t>FOOD SERVICE MANAGER</t>
  </si>
  <si>
    <t>FOOD STAFF</t>
  </si>
  <si>
    <t>Kitchen Help</t>
  </si>
  <si>
    <t>Asst Chef</t>
  </si>
  <si>
    <t>Head Chef</t>
  </si>
  <si>
    <t>BOILER ENGINEER</t>
  </si>
  <si>
    <t>Bachelor</t>
  </si>
  <si>
    <t>Master</t>
  </si>
  <si>
    <t>ACADEMIC HEAD</t>
  </si>
  <si>
    <t>ASST. ACADEMIC HEAD</t>
  </si>
  <si>
    <t>TEACHER CERTIFIED</t>
  </si>
  <si>
    <t>CODIFIL TEACHER</t>
  </si>
  <si>
    <t>Year</t>
  </si>
  <si>
    <t>TEACHING ASSISTANT</t>
  </si>
  <si>
    <t>LIBRARIAN</t>
  </si>
  <si>
    <t>NURSE</t>
  </si>
  <si>
    <t>LPN</t>
  </si>
  <si>
    <t>RN</t>
  </si>
  <si>
    <t>SCHOOL COUNSELOR</t>
  </si>
  <si>
    <t>LEARNING SERVICES COORDINATOR</t>
  </si>
  <si>
    <t>TEACHER NON-CERTIFIED</t>
  </si>
  <si>
    <t>W/Praxis +1</t>
  </si>
  <si>
    <t>W/Praxis +2</t>
  </si>
  <si>
    <t>FACILITIES MANAGER</t>
  </si>
  <si>
    <t>BUILDING MAINTENANCE</t>
  </si>
  <si>
    <t>JANITORIAL STAFF</t>
  </si>
  <si>
    <t>MAINTENANCE/SECURITY ADVISORS</t>
  </si>
  <si>
    <t>OLD EE</t>
  </si>
  <si>
    <t>Software Purchase</t>
  </si>
  <si>
    <t>Purchased Food</t>
  </si>
  <si>
    <t>Commodities</t>
  </si>
  <si>
    <t>Commodity Related Expenses</t>
  </si>
  <si>
    <t>Textbooks</t>
  </si>
  <si>
    <t>Workbooks</t>
  </si>
  <si>
    <t>Periodicals</t>
  </si>
  <si>
    <t xml:space="preserve">               01-50641-2252-000</t>
  </si>
  <si>
    <t>Library Books</t>
  </si>
  <si>
    <t xml:space="preserve">     Total Materials &amp; Supplies</t>
  </si>
  <si>
    <t xml:space="preserve">     Other Expenses</t>
  </si>
  <si>
    <t xml:space="preserve">          Certification Costs</t>
  </si>
  <si>
    <t>Certification Costs</t>
  </si>
  <si>
    <t>Finance Charges</t>
  </si>
  <si>
    <t xml:space="preserve">     Total Other Expenses</t>
  </si>
  <si>
    <t>Total Other Operating Expenses</t>
  </si>
  <si>
    <t>NET SURPLUS/(DEFICIT)</t>
  </si>
  <si>
    <t xml:space="preserve">               01-41920</t>
  </si>
  <si>
    <t xml:space="preserve">               01-41921</t>
  </si>
  <si>
    <t xml:space="preserve">               01-41922</t>
  </si>
  <si>
    <t>Department</t>
  </si>
  <si>
    <t>Gen. Acad.</t>
  </si>
  <si>
    <t>Kinder.</t>
  </si>
  <si>
    <t>Lower Sch.</t>
  </si>
  <si>
    <t>Middle Sch.</t>
  </si>
  <si>
    <t>Asst. Princ.</t>
  </si>
  <si>
    <t>Appraisal</t>
  </si>
  <si>
    <t>Counselor</t>
  </si>
  <si>
    <t>Nurse</t>
  </si>
  <si>
    <t>Library</t>
  </si>
  <si>
    <t>Data</t>
  </si>
  <si>
    <t>Finance</t>
  </si>
  <si>
    <t>Human Res.</t>
  </si>
  <si>
    <t>H.O.S.</t>
  </si>
  <si>
    <t>Inst. Adv.</t>
  </si>
  <si>
    <t>Facilities</t>
  </si>
  <si>
    <t>I.T.</t>
  </si>
  <si>
    <t>Food Serv.</t>
  </si>
  <si>
    <t>Prime Time</t>
  </si>
  <si>
    <t>21st Century</t>
  </si>
  <si>
    <t xml:space="preserve">               01-41610</t>
  </si>
  <si>
    <t xml:space="preserve">               01-41995</t>
  </si>
  <si>
    <t xml:space="preserve">               01-41993</t>
  </si>
  <si>
    <t xml:space="preserve">               01-41901</t>
  </si>
  <si>
    <t xml:space="preserve">               01-41944</t>
  </si>
  <si>
    <t xml:space="preserve">               01-41945</t>
  </si>
  <si>
    <t xml:space="preserve">               01-41940</t>
  </si>
  <si>
    <t xml:space="preserve">               01-41941</t>
  </si>
  <si>
    <t xml:space="preserve">               01-41942</t>
  </si>
  <si>
    <t xml:space="preserve">               01-41943</t>
  </si>
  <si>
    <t xml:space="preserve">               01-41994</t>
  </si>
  <si>
    <t xml:space="preserve">               01-41997</t>
  </si>
  <si>
    <t xml:space="preserve">               01-41996</t>
  </si>
  <si>
    <t xml:space="preserve">               01-41998</t>
  </si>
  <si>
    <t xml:space="preserve">               01-41510</t>
  </si>
  <si>
    <t xml:space="preserve">               01-41501</t>
  </si>
  <si>
    <t xml:space="preserve">               01-41900</t>
  </si>
  <si>
    <t>Other Revenues from Local Sources</t>
  </si>
  <si>
    <t xml:space="preserve">               01-41999</t>
  </si>
  <si>
    <t xml:space="preserve">               01-41992</t>
  </si>
  <si>
    <t xml:space="preserve">               01-41990</t>
  </si>
  <si>
    <t>Miscellaneous/Fund Raisers</t>
  </si>
  <si>
    <t xml:space="preserve">               01-41989</t>
  </si>
  <si>
    <t xml:space="preserve">               01-41910</t>
  </si>
  <si>
    <t xml:space="preserve">               01-43110</t>
  </si>
  <si>
    <t xml:space="preserve">               01-43115</t>
  </si>
  <si>
    <t>Other State Public School Fund</t>
  </si>
  <si>
    <t xml:space="preserve">               01-43100</t>
  </si>
  <si>
    <t>Unrestricted Grants in Aid</t>
  </si>
  <si>
    <t xml:space="preserve">               01-43190</t>
  </si>
  <si>
    <t xml:space="preserve">               01-43200</t>
  </si>
  <si>
    <t>Restricted Grants in Aid</t>
  </si>
  <si>
    <t xml:space="preserve">               01-43220</t>
  </si>
  <si>
    <t>Education Support Fund (8g)</t>
  </si>
  <si>
    <t xml:space="preserve">               01-43221</t>
  </si>
  <si>
    <t xml:space="preserve">               01-43290</t>
  </si>
  <si>
    <t xml:space="preserve">               01-44541</t>
  </si>
  <si>
    <t xml:space="preserve">               01-44544</t>
  </si>
  <si>
    <t xml:space="preserve">               01-44545</t>
  </si>
  <si>
    <t xml:space="preserve">               01-44548</t>
  </si>
  <si>
    <t xml:space="preserve">               03-44515</t>
  </si>
  <si>
    <t xml:space="preserve">     Total Benefits</t>
  </si>
  <si>
    <t>Total Employee Expenses</t>
  </si>
  <si>
    <t>Other Operating Expenses</t>
  </si>
  <si>
    <t xml:space="preserve">     Purchased Services</t>
  </si>
  <si>
    <t>Seminars/Training</t>
  </si>
  <si>
    <t>Legal Services</t>
  </si>
  <si>
    <t>Audit/Accounting Services</t>
  </si>
  <si>
    <t xml:space="preserve">     Total Purchased Services</t>
  </si>
  <si>
    <t xml:space="preserve">     Property Maintenance and Operating Expenses</t>
  </si>
  <si>
    <t>Electricity</t>
  </si>
  <si>
    <t>Heating Gas</t>
  </si>
  <si>
    <t>Water/Sewage</t>
  </si>
  <si>
    <t>Disposal Services</t>
  </si>
  <si>
    <t>Custodial Services</t>
  </si>
  <si>
    <t>Rental of Equipment and Vehicles</t>
  </si>
  <si>
    <t xml:space="preserve">     Total Property Maintenance and Operating Expenses</t>
  </si>
  <si>
    <t xml:space="preserve">     Insurance</t>
  </si>
  <si>
    <t xml:space="preserve">          Liability Insurance</t>
  </si>
  <si>
    <t>Liability Insurance</t>
  </si>
  <si>
    <t>Property Insurance</t>
  </si>
  <si>
    <t>Errors and Omissions Insurance</t>
  </si>
  <si>
    <t xml:space="preserve">     Total Insurance</t>
  </si>
  <si>
    <t xml:space="preserve">     Communication</t>
  </si>
  <si>
    <t>Telephone</t>
  </si>
  <si>
    <t>Long Distance Telephon</t>
  </si>
  <si>
    <t>Cell Phone</t>
  </si>
  <si>
    <t>Internet</t>
  </si>
  <si>
    <t>Postage</t>
  </si>
  <si>
    <t xml:space="preserve">     Total Communication</t>
  </si>
  <si>
    <t xml:space="preserve">     Travel</t>
  </si>
  <si>
    <t xml:space="preserve">          Travel Costs</t>
  </si>
  <si>
    <t xml:space="preserve">     Total Travel</t>
  </si>
  <si>
    <t xml:space="preserve">     Materials &amp; Supplies</t>
  </si>
  <si>
    <t>The International School of Louisiana</t>
  </si>
  <si>
    <t>Page 1</t>
  </si>
  <si>
    <t>Income Statement</t>
  </si>
  <si>
    <t>Revenue</t>
  </si>
  <si>
    <t xml:space="preserve">     Local Revenues</t>
  </si>
  <si>
    <t>Grants</t>
  </si>
  <si>
    <t>Donations</t>
  </si>
  <si>
    <t>Endowment Fund</t>
  </si>
  <si>
    <t>Income From Meals</t>
  </si>
  <si>
    <t>Primetime/Earlybird</t>
  </si>
  <si>
    <t>21st Century Revenue</t>
  </si>
  <si>
    <t>IT Support Services</t>
  </si>
  <si>
    <t>Enrichment Fee</t>
  </si>
  <si>
    <t>Supply Fee</t>
  </si>
  <si>
    <t>Books and Supplies Sold</t>
  </si>
  <si>
    <t>Library Book Replacement</t>
  </si>
  <si>
    <t>Textbook Replacement</t>
  </si>
  <si>
    <t>Uniform/ID Purchase</t>
  </si>
  <si>
    <t>Tardy Processing Fee</t>
  </si>
  <si>
    <t>Field Trips</t>
  </si>
  <si>
    <t>Child Not Picked Up Fee</t>
  </si>
  <si>
    <t>Library Fines</t>
  </si>
  <si>
    <t>Unrealized Gains/(Losses)</t>
  </si>
  <si>
    <t>Interest On Investments</t>
  </si>
  <si>
    <t>Karate</t>
  </si>
  <si>
    <t>0ther Miscellaneous Revenues</t>
  </si>
  <si>
    <t>Returned Check Fee</t>
  </si>
  <si>
    <t>Rentals</t>
  </si>
  <si>
    <t xml:space="preserve">     Total Revenue from Local Sources</t>
  </si>
  <si>
    <t xml:space="preserve">     State Revenues</t>
  </si>
  <si>
    <t>State Public School Fund</t>
  </si>
  <si>
    <t>Other Unrestricted Revenues</t>
  </si>
  <si>
    <t>K-3 Reading and Math</t>
  </si>
  <si>
    <t>Other Restricted Revenues</t>
  </si>
  <si>
    <t xml:space="preserve">     Total State Revenues</t>
  </si>
  <si>
    <t xml:space="preserve">     Federal Revenues</t>
  </si>
  <si>
    <t xml:space="preserve">          Title Revenues</t>
  </si>
  <si>
    <t>Title III</t>
  </si>
  <si>
    <t>School Food Service</t>
  </si>
  <si>
    <t>E-Rate Grant</t>
  </si>
  <si>
    <t>21st Century Learning</t>
  </si>
  <si>
    <t>Other IASA Programs</t>
  </si>
  <si>
    <t>Improving Americas Schools Act (IASA)</t>
  </si>
  <si>
    <t xml:space="preserve">     Total Federal Revenues</t>
  </si>
  <si>
    <t>Revenues</t>
  </si>
  <si>
    <t>Employee Expenses</t>
  </si>
  <si>
    <t xml:space="preserve">     Salaries</t>
  </si>
  <si>
    <t>Teachers</t>
  </si>
  <si>
    <t>Aides</t>
  </si>
  <si>
    <t>Therapists/Specialists/Counselors</t>
  </si>
  <si>
    <t>Degreed Professionals</t>
  </si>
  <si>
    <t>Clerical/Secretarial</t>
  </si>
  <si>
    <t>Service Workers</t>
  </si>
  <si>
    <t>Security Services</t>
  </si>
  <si>
    <t>Skilled Crafts</t>
  </si>
  <si>
    <t>Officials/Administrators/Managers</t>
  </si>
  <si>
    <t>Substitute Teacher</t>
  </si>
  <si>
    <t>Other Salaries</t>
  </si>
  <si>
    <t xml:space="preserve">          Total Other Salaries</t>
  </si>
  <si>
    <t xml:space="preserve">     Total Salaries</t>
  </si>
  <si>
    <t xml:space="preserve">     Benefits</t>
  </si>
  <si>
    <t># of Employees</t>
  </si>
  <si>
    <t>Kindergarten</t>
  </si>
  <si>
    <t>SKA</t>
  </si>
  <si>
    <t>SKB</t>
  </si>
  <si>
    <t>FKA</t>
  </si>
  <si>
    <t>FKB</t>
  </si>
  <si>
    <t>Lower School</t>
  </si>
  <si>
    <t>S1A</t>
  </si>
  <si>
    <t>S1B</t>
  </si>
  <si>
    <t>F1A</t>
  </si>
  <si>
    <t>F1B</t>
  </si>
  <si>
    <t>S2A</t>
  </si>
  <si>
    <t>S2B</t>
  </si>
  <si>
    <t>F2A</t>
  </si>
  <si>
    <t>F2B</t>
  </si>
  <si>
    <t>S3A</t>
  </si>
  <si>
    <t>E2N</t>
  </si>
  <si>
    <t>S3B</t>
  </si>
  <si>
    <t>F3A</t>
  </si>
  <si>
    <t>F3B</t>
  </si>
  <si>
    <t>E3N</t>
  </si>
  <si>
    <t>S4A</t>
  </si>
  <si>
    <t>S4B</t>
  </si>
  <si>
    <t>F4B</t>
  </si>
  <si>
    <t>F4A</t>
  </si>
  <si>
    <t>E4N</t>
  </si>
  <si>
    <t>S5A</t>
  </si>
  <si>
    <t>S5B</t>
  </si>
  <si>
    <t>F5A</t>
  </si>
  <si>
    <t>E5N</t>
  </si>
  <si>
    <t>MLA</t>
  </si>
  <si>
    <t>MSS</t>
  </si>
  <si>
    <t>MFM</t>
  </si>
  <si>
    <t>MSM</t>
  </si>
  <si>
    <t>MSC</t>
  </si>
  <si>
    <t>Enrichment</t>
  </si>
  <si>
    <t>ART</t>
  </si>
  <si>
    <t>PET</t>
  </si>
  <si>
    <t>MUS</t>
  </si>
  <si>
    <t>Notes:</t>
  </si>
  <si>
    <t>Turnover employees should have 2X unemployment tax</t>
  </si>
  <si>
    <t>CODOFIL - No SS, Medi, SUTA</t>
  </si>
  <si>
    <t># of employees</t>
  </si>
  <si>
    <t>CMP</t>
  </si>
  <si>
    <t>TOTAL</t>
  </si>
  <si>
    <t>New emloyees - add cost of fingerprinting</t>
  </si>
  <si>
    <t>Add cost of license renewal for all employees</t>
  </si>
  <si>
    <t>Originally record fundraisers at net - record true costs before complete the budget</t>
  </si>
  <si>
    <t>Move reception and family liason to academic department</t>
  </si>
  <si>
    <t>Unrelated Business Income Tax Accrual for IT</t>
  </si>
  <si>
    <t>Allocate Supply Fee based on # of students.  Use that amount for materials budget</t>
  </si>
  <si>
    <t>Find out true xerox lease costs</t>
  </si>
  <si>
    <t>Check for salaries that have been adjusted through the year.</t>
  </si>
  <si>
    <t>M Ramirez</t>
  </si>
  <si>
    <t>G Camey</t>
  </si>
  <si>
    <t>CODOFIL</t>
  </si>
  <si>
    <t>L Deltort</t>
  </si>
  <si>
    <t>L Ducruet</t>
  </si>
  <si>
    <t>K Debarbieri</t>
  </si>
  <si>
    <t>E Countiss</t>
  </si>
  <si>
    <t>C Kuhlmann</t>
  </si>
  <si>
    <t>C Tebbe</t>
  </si>
  <si>
    <t>J Deltort</t>
  </si>
  <si>
    <t>V Azcunaga</t>
  </si>
  <si>
    <t>U Duhamel</t>
  </si>
  <si>
    <t>L Hill</t>
  </si>
  <si>
    <t>Will we still be sharing 3rd grade French assistants?</t>
  </si>
  <si>
    <t>J Maldonado</t>
  </si>
  <si>
    <t>J Ramonmuro</t>
  </si>
  <si>
    <t>J Huber</t>
  </si>
  <si>
    <t>J Palafox</t>
  </si>
  <si>
    <t>MSL</t>
  </si>
  <si>
    <t>K Herndon</t>
  </si>
  <si>
    <t>MFL</t>
  </si>
  <si>
    <t>F Jouret</t>
  </si>
  <si>
    <t>M Macera</t>
  </si>
  <si>
    <t>H Mao</t>
  </si>
  <si>
    <t>Need to add 1% or 2% for discretionary pay</t>
  </si>
  <si>
    <t>Title I</t>
  </si>
  <si>
    <t>Title IV</t>
  </si>
  <si>
    <t>Title II</t>
  </si>
  <si>
    <t>Auto Insurance, maintenance, fuel</t>
  </si>
  <si>
    <t>Budget for Depreciation?</t>
  </si>
  <si>
    <t>2123</t>
  </si>
  <si>
    <t>CIR</t>
  </si>
  <si>
    <t>Replacement Computers</t>
  </si>
  <si>
    <t>Model Classrooms</t>
  </si>
  <si>
    <t>Adjust benefit costs for employees before 2006</t>
  </si>
  <si>
    <t>ACL</t>
  </si>
  <si>
    <t>Students</t>
  </si>
  <si>
    <t>Principal</t>
  </si>
  <si>
    <t>2410</t>
  </si>
  <si>
    <t>EXECUTIVE</t>
  </si>
  <si>
    <t>DATA ADMINISTRATOR</t>
  </si>
  <si>
    <t>Head Custodian</t>
  </si>
  <si>
    <t>Improving America's Schools Act (IASA)</t>
  </si>
  <si>
    <t>Major Donors &amp; Annual Fund</t>
  </si>
  <si>
    <t>F5B</t>
  </si>
  <si>
    <t>Lower</t>
  </si>
  <si>
    <t>1110</t>
  </si>
  <si>
    <t>MKA</t>
  </si>
  <si>
    <t>S1C</t>
  </si>
  <si>
    <t>Technology Equipment (over $5,000)</t>
  </si>
  <si>
    <t>Equipment (over $5,000)</t>
  </si>
  <si>
    <t># of JP Students</t>
  </si>
  <si>
    <t>EB Food Service</t>
  </si>
  <si>
    <t>WB Food Service</t>
  </si>
  <si>
    <t>FS Mgmt</t>
  </si>
  <si>
    <t>Facilities Mgmt</t>
  </si>
  <si>
    <t>EB Facilities</t>
  </si>
  <si>
    <t>WB Facilities</t>
  </si>
  <si>
    <t>01-50130</t>
  </si>
  <si>
    <t>Extra Work Performed</t>
  </si>
  <si>
    <t>Yolondis</t>
  </si>
  <si>
    <t>Speech</t>
  </si>
  <si>
    <t>2152</t>
  </si>
  <si>
    <t>Add family liaison?  Watch GCR</t>
  </si>
  <si>
    <t>JP</t>
  </si>
  <si>
    <t>JP Food Service</t>
  </si>
  <si>
    <t>01-50441</t>
  </si>
  <si>
    <t>Rental of Land and Buildings</t>
  </si>
  <si>
    <t>01-50519</t>
  </si>
  <si>
    <t>Student Transportation</t>
  </si>
  <si>
    <t>01-50626</t>
  </si>
  <si>
    <t>Fuel</t>
  </si>
  <si>
    <t>01-50523</t>
  </si>
  <si>
    <t>Fleet Insurance</t>
  </si>
  <si>
    <t>01-50612</t>
  </si>
  <si>
    <t>01-50615</t>
  </si>
  <si>
    <t>Technology Supplies</t>
  </si>
  <si>
    <t>01-50616</t>
  </si>
  <si>
    <t>Technology Small Equipment (under $5K)</t>
  </si>
  <si>
    <t>Donor Perfect</t>
  </si>
  <si>
    <t>01-50536</t>
  </si>
  <si>
    <t>Toner, mice</t>
  </si>
  <si>
    <t>Subscription Based Software</t>
  </si>
  <si>
    <t>01-50895</t>
  </si>
  <si>
    <t>Meals &amp; Entertainment (non travel related)</t>
  </si>
  <si>
    <t>EB</t>
  </si>
  <si>
    <t>IT</t>
  </si>
  <si>
    <t>COO</t>
  </si>
  <si>
    <t>Dir of Finance</t>
  </si>
  <si>
    <t>2490</t>
  </si>
  <si>
    <t>Accountant</t>
  </si>
  <si>
    <t>Tiffany</t>
  </si>
  <si>
    <t># of CAMP students</t>
  </si>
  <si>
    <t># of OLIVIER Studetns</t>
  </si>
  <si>
    <t>TOTAL OPERATING EXPENSES</t>
  </si>
  <si>
    <t>IT EB</t>
  </si>
  <si>
    <t>Olivier</t>
  </si>
  <si>
    <t>MS LA</t>
  </si>
  <si>
    <t>MS Math</t>
  </si>
  <si>
    <t>MS Science</t>
  </si>
  <si>
    <t>MS Soc St</t>
  </si>
  <si>
    <t>JP FC</t>
  </si>
  <si>
    <t>JP FS</t>
  </si>
  <si>
    <t xml:space="preserve">               01-50441</t>
  </si>
  <si>
    <t>TOTAL EXPENSES</t>
  </si>
  <si>
    <t xml:space="preserve">               01-50130</t>
  </si>
  <si>
    <t>JEFFERSON</t>
  </si>
  <si>
    <t>SUBTOTAL</t>
  </si>
  <si>
    <t xml:space="preserve">              01-50612</t>
  </si>
  <si>
    <t xml:space="preserve">              01-50615</t>
  </si>
  <si>
    <t xml:space="preserve">               01-50616</t>
  </si>
  <si>
    <t xml:space="preserve">               01-50626</t>
  </si>
  <si>
    <t>Curriculum</t>
  </si>
  <si>
    <t>IT WB</t>
  </si>
  <si>
    <t>PET/MA</t>
  </si>
  <si>
    <t>21CCLC WB</t>
  </si>
  <si>
    <t>21CCLC EB</t>
  </si>
  <si>
    <t># Students</t>
  </si>
  <si>
    <t>EB Prime Time</t>
  </si>
  <si>
    <t>WB Prime Time</t>
  </si>
  <si>
    <t># students</t>
  </si>
  <si>
    <t>Degreed</t>
  </si>
  <si>
    <t>MANAGEMENT</t>
  </si>
  <si>
    <t>Karla</t>
  </si>
  <si>
    <t>SKC</t>
  </si>
  <si>
    <t>0</t>
  </si>
  <si>
    <t>REMEDIATION SPECIALIST</t>
  </si>
  <si>
    <t>JP Prime Time</t>
  </si>
  <si>
    <t>MS TLA</t>
  </si>
  <si>
    <t>2011-2012</t>
  </si>
  <si>
    <t>Projection</t>
  </si>
  <si>
    <t>12-2013</t>
  </si>
  <si>
    <t>BUDGET</t>
  </si>
  <si>
    <t>Admin</t>
  </si>
  <si>
    <t>S1D</t>
  </si>
  <si>
    <t xml:space="preserve">               01-50523</t>
  </si>
  <si>
    <t>IT JP</t>
  </si>
  <si>
    <t>INTERNATIONAL SCHOOL OF LOUISIANA</t>
  </si>
  <si>
    <t>2012 - 2013 SALARY INFORMATION</t>
  </si>
  <si>
    <t>Function Code</t>
  </si>
  <si>
    <t>Last Name</t>
  </si>
  <si>
    <t>First Name</t>
  </si>
  <si>
    <t>Job Title</t>
  </si>
  <si>
    <t>2011-12 Salary</t>
  </si>
  <si>
    <t>2012-13 Salary *</t>
  </si>
  <si>
    <t>% Increase</t>
  </si>
  <si>
    <t>Location</t>
  </si>
  <si>
    <t>Comments</t>
  </si>
  <si>
    <t xml:space="preserve"> School Counselor</t>
  </si>
  <si>
    <t>Antippas</t>
  </si>
  <si>
    <t>Athena</t>
  </si>
  <si>
    <t>School Counselor</t>
  </si>
  <si>
    <t>Camp</t>
  </si>
  <si>
    <t>1105 Kindergarten</t>
  </si>
  <si>
    <t>Vaz</t>
  </si>
  <si>
    <t>Olga</t>
  </si>
  <si>
    <t>Assistant Teacher</t>
  </si>
  <si>
    <t>Cueva</t>
  </si>
  <si>
    <t>Ana</t>
  </si>
  <si>
    <t>Spanish K</t>
  </si>
  <si>
    <t>Vargas</t>
  </si>
  <si>
    <t>Yanire</t>
  </si>
  <si>
    <t>Pestel</t>
  </si>
  <si>
    <t>Pauline</t>
  </si>
  <si>
    <t>Teacher</t>
  </si>
  <si>
    <t>Camey</t>
  </si>
  <si>
    <t>Ghislaine</t>
  </si>
  <si>
    <t>Ramirez</t>
  </si>
  <si>
    <t>Myrna</t>
  </si>
  <si>
    <t>1110 Lower School</t>
  </si>
  <si>
    <t>Copel</t>
  </si>
  <si>
    <t>Laurence</t>
  </si>
  <si>
    <t>Djouini</t>
  </si>
  <si>
    <t>Imen</t>
  </si>
  <si>
    <t>Coll</t>
  </si>
  <si>
    <t>Isabelle</t>
  </si>
  <si>
    <t>Rendon</t>
  </si>
  <si>
    <t>Gelin</t>
  </si>
  <si>
    <t>Horvitz</t>
  </si>
  <si>
    <t>Maria</t>
  </si>
  <si>
    <t>Rodriguez</t>
  </si>
  <si>
    <t>Janeth</t>
  </si>
  <si>
    <t>Guzman</t>
  </si>
  <si>
    <t>Blanca</t>
  </si>
  <si>
    <t>Dugue</t>
  </si>
  <si>
    <t>Sabillon</t>
  </si>
  <si>
    <t>Sara</t>
  </si>
  <si>
    <t>Montes</t>
  </si>
  <si>
    <t>Yasmira</t>
  </si>
  <si>
    <t>DOH: 8/2/12</t>
  </si>
  <si>
    <t>Hammer</t>
  </si>
  <si>
    <t>Lucia</t>
  </si>
  <si>
    <t>Librarian</t>
  </si>
  <si>
    <t>Jones</t>
  </si>
  <si>
    <t>Frank</t>
  </si>
  <si>
    <t>Remediation</t>
  </si>
  <si>
    <t>Schumacher</t>
  </si>
  <si>
    <t>Jennifer</t>
  </si>
  <si>
    <t>Art</t>
  </si>
  <si>
    <t>Cochran</t>
  </si>
  <si>
    <t>Ryhiner</t>
  </si>
  <si>
    <t>Meret</t>
  </si>
  <si>
    <t>Circus Art</t>
  </si>
  <si>
    <t>Tebbe-Crump</t>
  </si>
  <si>
    <t>Charlotte</t>
  </si>
  <si>
    <t>Hill</t>
  </si>
  <si>
    <t>Laura</t>
  </si>
  <si>
    <t>Huber</t>
  </si>
  <si>
    <t>Jeanine</t>
  </si>
  <si>
    <t>Kuhlmann</t>
  </si>
  <si>
    <t>Claire</t>
  </si>
  <si>
    <t>Mouligneau</t>
  </si>
  <si>
    <t>Sylvie</t>
  </si>
  <si>
    <t>Taraborrelli</t>
  </si>
  <si>
    <t>Charline</t>
  </si>
  <si>
    <t>Geisler</t>
  </si>
  <si>
    <t>Samuel</t>
  </si>
  <si>
    <t>Deltort</t>
  </si>
  <si>
    <t>Lilian</t>
  </si>
  <si>
    <t>Clancy</t>
  </si>
  <si>
    <t>William</t>
  </si>
  <si>
    <t>Duhamel</t>
  </si>
  <si>
    <t>Ulysse</t>
  </si>
  <si>
    <t>Feber</t>
  </si>
  <si>
    <t>Helene</t>
  </si>
  <si>
    <t>LaChevre</t>
  </si>
  <si>
    <t>Fabienne</t>
  </si>
  <si>
    <t>Braconnier</t>
  </si>
  <si>
    <t>Anne</t>
  </si>
  <si>
    <t>Stephens</t>
  </si>
  <si>
    <t>Ann</t>
  </si>
  <si>
    <t>Music</t>
  </si>
  <si>
    <t>Logigian</t>
  </si>
  <si>
    <t>Lois</t>
  </si>
  <si>
    <t>Physical Ed.</t>
  </si>
  <si>
    <t>Wood</t>
  </si>
  <si>
    <t>Cameron</t>
  </si>
  <si>
    <t>Debarbieri</t>
  </si>
  <si>
    <t>Kyla</t>
  </si>
  <si>
    <t>Ducruet</t>
  </si>
  <si>
    <t>Countiss</t>
  </si>
  <si>
    <t>Elena</t>
  </si>
  <si>
    <t>Valdes</t>
  </si>
  <si>
    <t>Veronica</t>
  </si>
  <si>
    <t>Jamie</t>
  </si>
  <si>
    <t>Ramonmuro</t>
  </si>
  <si>
    <t>Jose</t>
  </si>
  <si>
    <t>Maldonado</t>
  </si>
  <si>
    <t>Jairo</t>
  </si>
  <si>
    <t>Palafox</t>
  </si>
  <si>
    <t>Juan</t>
  </si>
  <si>
    <t>1110 Middle School</t>
  </si>
  <si>
    <t>Tozzatto</t>
  </si>
  <si>
    <t>Claudia</t>
  </si>
  <si>
    <t>1111 Middle School</t>
  </si>
  <si>
    <t>Merlos</t>
  </si>
  <si>
    <t>Anna</t>
  </si>
  <si>
    <t>Herndon</t>
  </si>
  <si>
    <t>Kimberly</t>
  </si>
  <si>
    <t>Bonin</t>
  </si>
  <si>
    <t>Felice</t>
  </si>
  <si>
    <t>Jouret</t>
  </si>
  <si>
    <t>Frederique</t>
  </si>
  <si>
    <t>Mao</t>
  </si>
  <si>
    <t>Hui</t>
  </si>
  <si>
    <t>Macera</t>
  </si>
  <si>
    <t>Mailin</t>
  </si>
  <si>
    <t>1200 Special Education Services</t>
  </si>
  <si>
    <t>Duke</t>
  </si>
  <si>
    <t>Danny</t>
  </si>
  <si>
    <t>Speech Language Therapist</t>
  </si>
  <si>
    <t>2134 School Nurse</t>
  </si>
  <si>
    <t>Figueroa</t>
  </si>
  <si>
    <t>Mary Ann</t>
  </si>
  <si>
    <t>School Nurse</t>
  </si>
  <si>
    <t>2322 School Development</t>
  </si>
  <si>
    <t>Colbert</t>
  </si>
  <si>
    <t>Catalian</t>
  </si>
  <si>
    <t>Family Liaison</t>
  </si>
  <si>
    <t>2410 Principal</t>
  </si>
  <si>
    <t>Gomez</t>
  </si>
  <si>
    <t>Eugenia</t>
  </si>
  <si>
    <t>Office Assistant</t>
  </si>
  <si>
    <t>Tennyson</t>
  </si>
  <si>
    <t>Melanie</t>
  </si>
  <si>
    <t>2420 Assistant Principal</t>
  </si>
  <si>
    <t>Argo</t>
  </si>
  <si>
    <t>Kathryn</t>
  </si>
  <si>
    <t>Assistant Principal</t>
  </si>
  <si>
    <t>Watson</t>
  </si>
  <si>
    <t>Jesse</t>
  </si>
  <si>
    <t>2620 Operating Building Services</t>
  </si>
  <si>
    <t>Solis</t>
  </si>
  <si>
    <t>Nydia</t>
  </si>
  <si>
    <t>Custodian</t>
  </si>
  <si>
    <t>Gibbs</t>
  </si>
  <si>
    <t>Ruby</t>
  </si>
  <si>
    <t>Manzanares</t>
  </si>
  <si>
    <t>Doris</t>
  </si>
  <si>
    <t>Darrisaw</t>
  </si>
  <si>
    <t>Gregrico</t>
  </si>
  <si>
    <t>Facilities Maintenance</t>
  </si>
  <si>
    <t>Thomas</t>
  </si>
  <si>
    <t>Robert</t>
  </si>
  <si>
    <t>2114 Student Accounting Services</t>
  </si>
  <si>
    <t>Marascalco</t>
  </si>
  <si>
    <t>Mary</t>
  </si>
  <si>
    <t>Manager - Data</t>
  </si>
  <si>
    <t>CMO</t>
  </si>
  <si>
    <t>Morell</t>
  </si>
  <si>
    <t>Annette</t>
  </si>
  <si>
    <t>2190 Other Pupil Support Services</t>
  </si>
  <si>
    <t>Winchell</t>
  </si>
  <si>
    <t>Director of Education Services</t>
  </si>
  <si>
    <t>2255 Computer-Assisted Instruction Services</t>
  </si>
  <si>
    <t>Hitomi</t>
  </si>
  <si>
    <t>Yutaka</t>
  </si>
  <si>
    <t>Coordinator - IT</t>
  </si>
  <si>
    <t>2321 Head of School/Executive Director</t>
  </si>
  <si>
    <t>Wilson</t>
  </si>
  <si>
    <t>Trisean</t>
  </si>
  <si>
    <t>Head of School/CEO</t>
  </si>
  <si>
    <t>Carter</t>
  </si>
  <si>
    <t>Manager - Fundraising</t>
  </si>
  <si>
    <t>2500 Business Office</t>
  </si>
  <si>
    <t>Rivera</t>
  </si>
  <si>
    <t>Coordinator - Marketing</t>
  </si>
  <si>
    <t>2510 Fiscal Services</t>
  </si>
  <si>
    <t>Gilmore</t>
  </si>
  <si>
    <t>Kurtz</t>
  </si>
  <si>
    <t>Director of Finance</t>
  </si>
  <si>
    <t>Le</t>
  </si>
  <si>
    <t>Aviva</t>
  </si>
  <si>
    <t>Director of Facilities</t>
  </si>
  <si>
    <t>2830 Human Resources</t>
  </si>
  <si>
    <t>Emily</t>
  </si>
  <si>
    <t>Director of Human Resource</t>
  </si>
  <si>
    <t>Shokri</t>
  </si>
  <si>
    <t>Negah</t>
  </si>
  <si>
    <t>Office Assistant - HR</t>
  </si>
  <si>
    <t>Wendolly</t>
  </si>
  <si>
    <t>ISLJP</t>
  </si>
  <si>
    <t>DiPasquale</t>
  </si>
  <si>
    <t>Mulkey, III</t>
  </si>
  <si>
    <t>Woodrow</t>
  </si>
  <si>
    <t>Estrella</t>
  </si>
  <si>
    <t>Nobert</t>
  </si>
  <si>
    <t>Berger</t>
  </si>
  <si>
    <t>Adierah</t>
  </si>
  <si>
    <t>Gonzalez</t>
  </si>
  <si>
    <t>Alma</t>
  </si>
  <si>
    <t>Butts</t>
  </si>
  <si>
    <t>Natalie</t>
  </si>
  <si>
    <t>Northington</t>
  </si>
  <si>
    <t>Tresa</t>
  </si>
  <si>
    <t>Kareores</t>
  </si>
  <si>
    <t>Victoria</t>
  </si>
  <si>
    <t>Romero</t>
  </si>
  <si>
    <t>Spanish k</t>
  </si>
  <si>
    <t>Christine</t>
  </si>
  <si>
    <t>2300 General Administration</t>
  </si>
  <si>
    <t>Bordelon</t>
  </si>
  <si>
    <t>Robin</t>
  </si>
  <si>
    <t>Administrative Assistant</t>
  </si>
  <si>
    <t>Alvarado</t>
  </si>
  <si>
    <t>Rosa</t>
  </si>
  <si>
    <t>Associate Principal</t>
  </si>
  <si>
    <t>Lara-Rico</t>
  </si>
  <si>
    <t>Salvador</t>
  </si>
  <si>
    <t>Accounting Technician</t>
  </si>
  <si>
    <t>Julius</t>
  </si>
  <si>
    <t>Fuentes</t>
  </si>
  <si>
    <t>Food Service Assistant/Custodian</t>
  </si>
  <si>
    <t>Food Service</t>
  </si>
  <si>
    <t>Melissa</t>
  </si>
  <si>
    <t>Boudreaux</t>
  </si>
  <si>
    <t>Director of Food Service</t>
  </si>
  <si>
    <t>Martha</t>
  </si>
  <si>
    <t>Irving</t>
  </si>
  <si>
    <t>Chef</t>
  </si>
  <si>
    <t>Annastasia</t>
  </si>
  <si>
    <t>Harden</t>
  </si>
  <si>
    <t>Assistant Chef</t>
  </si>
  <si>
    <t>Yvonne</t>
  </si>
  <si>
    <t>White</t>
  </si>
  <si>
    <t>Food Service Assistant I</t>
  </si>
  <si>
    <t>Tamika</t>
  </si>
  <si>
    <t>Davis</t>
  </si>
  <si>
    <t>Brenda</t>
  </si>
  <si>
    <t>Food Service Assistant II</t>
  </si>
  <si>
    <t>* ISL Salary Schedule</t>
  </si>
  <si>
    <t>FC</t>
  </si>
  <si>
    <t>FS</t>
  </si>
  <si>
    <t>O Vaz</t>
  </si>
  <si>
    <t>Grade/Dept</t>
  </si>
  <si>
    <t>Area</t>
  </si>
  <si>
    <t>Counseling</t>
  </si>
  <si>
    <t>French</t>
  </si>
  <si>
    <t>Kinder</t>
  </si>
  <si>
    <t>Spanish</t>
  </si>
  <si>
    <t>1st</t>
  </si>
  <si>
    <t>2nd</t>
  </si>
  <si>
    <t>3rd</t>
  </si>
  <si>
    <t>4th</t>
  </si>
  <si>
    <t>5th</t>
  </si>
  <si>
    <t>English</t>
  </si>
  <si>
    <t>2rd</t>
  </si>
  <si>
    <t>Science</t>
  </si>
  <si>
    <t>MS</t>
  </si>
  <si>
    <t>ELA</t>
  </si>
  <si>
    <t>ELA/AA</t>
  </si>
  <si>
    <t>FLA</t>
  </si>
  <si>
    <t>CLA</t>
  </si>
  <si>
    <t>SPM</t>
  </si>
  <si>
    <t>Therapy</t>
  </si>
  <si>
    <t>Acad Admin</t>
  </si>
  <si>
    <t>Fly Liaison</t>
  </si>
  <si>
    <t>Offc Asst</t>
  </si>
  <si>
    <t>Asst. Princ</t>
  </si>
  <si>
    <t>Maintenance</t>
  </si>
  <si>
    <t>Educ. Serv.</t>
  </si>
  <si>
    <t>Assc. Princ</t>
  </si>
  <si>
    <t>???</t>
  </si>
  <si>
    <t>Y Vargas</t>
  </si>
  <si>
    <t>P Pestel</t>
  </si>
  <si>
    <t>L Copel</t>
  </si>
  <si>
    <t>I Coll</t>
  </si>
  <si>
    <t>I Djouini</t>
  </si>
  <si>
    <t>G Rendon</t>
  </si>
  <si>
    <t>M Horvitz</t>
  </si>
  <si>
    <t>P rodriguez</t>
  </si>
  <si>
    <t>B Guzman</t>
  </si>
  <si>
    <t>M Dugue</t>
  </si>
  <si>
    <t>S Sabillon</t>
  </si>
  <si>
    <t>Y Montes</t>
  </si>
  <si>
    <t>S Moulingneau</t>
  </si>
  <si>
    <t>C Taraborrelli</t>
  </si>
  <si>
    <t>S Geisler</t>
  </si>
  <si>
    <t>W Clancy</t>
  </si>
  <si>
    <t>H Feber</t>
  </si>
  <si>
    <t>F LeChevre</t>
  </si>
  <si>
    <t>A Braconnier</t>
  </si>
  <si>
    <t>V Valdes</t>
  </si>
  <si>
    <t>C Tozzatto</t>
  </si>
  <si>
    <t>MCL</t>
  </si>
  <si>
    <t>W Vargas</t>
  </si>
  <si>
    <t>M DiPasquale</t>
  </si>
  <si>
    <t>A Gonzalez</t>
  </si>
  <si>
    <t>N Butts</t>
  </si>
  <si>
    <t>T Northington</t>
  </si>
  <si>
    <t>V Kareores</t>
  </si>
  <si>
    <t>L Romero</t>
  </si>
  <si>
    <t>Bookkepper</t>
  </si>
  <si>
    <t>Bookkeeper</t>
  </si>
  <si>
    <t>Appraisal Svcs</t>
  </si>
  <si>
    <t>KidSmart</t>
  </si>
  <si>
    <t>Camp Street</t>
  </si>
  <si>
    <t>Olivier Street</t>
  </si>
  <si>
    <t>Jeffsron</t>
  </si>
  <si>
    <t>CAMP ST</t>
  </si>
  <si>
    <t>OLIVIER ST</t>
  </si>
  <si>
    <t xml:space="preserve">               01-50519</t>
  </si>
  <si>
    <t xml:space="preserve">         01-50441</t>
  </si>
  <si>
    <t xml:space="preserve">               01-50895</t>
  </si>
  <si>
    <t xml:space="preserve">               01-50612</t>
  </si>
  <si>
    <t xml:space="preserve">               01-50615</t>
  </si>
  <si>
    <t>Resource Mgt</t>
  </si>
  <si>
    <t>Recruit &amp; Mktg</t>
  </si>
  <si>
    <t>Grant</t>
  </si>
  <si>
    <t>Dir of FN</t>
  </si>
  <si>
    <t>FN TOTAL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</si>
</sst>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0.0%"/>
  </numFmts>
  <fonts count="40">
    <font>
      <sz val="10"/>
      <color indexed="8"/>
      <name val="MS Sans Serif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.0500000000000007"/>
      <color indexed="8"/>
      <name val="Times New Roman"/>
      <family val="1"/>
    </font>
    <font>
      <b/>
      <sz val="10"/>
      <color indexed="8"/>
      <name val="MS Sans Serif"/>
      <family val="2"/>
    </font>
    <font>
      <sz val="8.0500000000000007"/>
      <color indexed="8"/>
      <name val="Times New Roman"/>
      <family val="1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0500000000000007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9" fillId="0" borderId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3">
    <xf numFmtId="0" fontId="0" fillId="0" borderId="0" xfId="0" applyNumberFormat="1" applyFill="1" applyBorder="1" applyAlignment="1" applyProtection="1"/>
    <xf numFmtId="7" fontId="2" fillId="0" borderId="0" xfId="0" applyNumberFormat="1" applyFont="1" applyAlignment="1">
      <alignment horizontal="right" vertical="center"/>
    </xf>
    <xf numFmtId="0" fontId="23" fillId="0" borderId="0" xfId="39" applyFont="1"/>
    <xf numFmtId="0" fontId="9" fillId="0" borderId="0" xfId="39"/>
    <xf numFmtId="7" fontId="24" fillId="0" borderId="0" xfId="0" applyNumberFormat="1" applyFont="1" applyAlignment="1">
      <alignment horizontal="right" vertical="center"/>
    </xf>
    <xf numFmtId="0" fontId="25" fillId="0" borderId="0" xfId="0" applyNumberFormat="1" applyFont="1" applyFill="1" applyBorder="1" applyAlignment="1" applyProtection="1"/>
    <xf numFmtId="7" fontId="2" fillId="0" borderId="10" xfId="0" applyNumberFormat="1" applyFont="1" applyBorder="1" applyAlignment="1">
      <alignment horizontal="right" vertical="center"/>
    </xf>
    <xf numFmtId="49" fontId="2" fillId="0" borderId="0" xfId="28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7" fontId="26" fillId="0" borderId="0" xfId="0" applyNumberFormat="1" applyFont="1" applyAlignment="1">
      <alignment horizontal="right" vertical="center"/>
    </xf>
    <xf numFmtId="7" fontId="2" fillId="0" borderId="0" xfId="0" applyNumberFormat="1" applyFont="1" applyAlignment="1">
      <alignment horizontal="left" vertical="center"/>
    </xf>
    <xf numFmtId="164" fontId="2" fillId="0" borderId="0" xfId="28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28" applyNumberFormat="1" applyFont="1" applyAlignment="1">
      <alignment horizontal="left" vertical="center"/>
    </xf>
    <xf numFmtId="7" fontId="24" fillId="0" borderId="0" xfId="0" applyNumberFormat="1" applyFont="1" applyAlignment="1">
      <alignment horizontal="left" vertical="center"/>
    </xf>
    <xf numFmtId="0" fontId="27" fillId="0" borderId="0" xfId="0" applyNumberFormat="1" applyFont="1" applyFill="1" applyBorder="1" applyAlignment="1" applyProtection="1"/>
    <xf numFmtId="7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horizontal="left" vertical="center"/>
    </xf>
    <xf numFmtId="41" fontId="9" fillId="0" borderId="0" xfId="39" applyNumberFormat="1"/>
    <xf numFmtId="41" fontId="23" fillId="0" borderId="0" xfId="39" applyNumberFormat="1" applyFont="1"/>
    <xf numFmtId="41" fontId="30" fillId="0" borderId="0" xfId="39" applyNumberFormat="1" applyFont="1"/>
    <xf numFmtId="41" fontId="2" fillId="0" borderId="1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30" fillId="0" borderId="0" xfId="39" applyFont="1"/>
    <xf numFmtId="41" fontId="2" fillId="0" borderId="0" xfId="0" applyNumberFormat="1" applyFont="1" applyFill="1" applyAlignment="1">
      <alignment horizontal="right" vertical="center"/>
    </xf>
    <xf numFmtId="7" fontId="2" fillId="0" borderId="0" xfId="0" applyNumberFormat="1" applyFont="1" applyFill="1" applyBorder="1" applyAlignment="1">
      <alignment horizontal="right" vertical="center"/>
    </xf>
    <xf numFmtId="7" fontId="26" fillId="0" borderId="0" xfId="0" applyNumberFormat="1" applyFont="1" applyFill="1" applyBorder="1" applyAlignment="1">
      <alignment horizontal="right" vertical="center"/>
    </xf>
    <xf numFmtId="7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7" fontId="2" fillId="0" borderId="0" xfId="0" applyNumberFormat="1" applyFont="1" applyFill="1" applyAlignment="1">
      <alignment horizontal="center" vertical="center"/>
    </xf>
    <xf numFmtId="7" fontId="24" fillId="0" borderId="0" xfId="0" applyNumberFormat="1" applyFont="1" applyFill="1" applyAlignment="1">
      <alignment horizontal="right" vertical="center"/>
    </xf>
    <xf numFmtId="7" fontId="2" fillId="0" borderId="0" xfId="0" applyNumberFormat="1" applyFont="1" applyFill="1" applyAlignment="1">
      <alignment horizontal="left" vertical="center"/>
    </xf>
    <xf numFmtId="164" fontId="2" fillId="0" borderId="0" xfId="28" applyNumberFormat="1" applyFont="1" applyFill="1" applyAlignment="1">
      <alignment horizontal="left" vertical="center"/>
    </xf>
    <xf numFmtId="49" fontId="2" fillId="0" borderId="11" xfId="28" applyNumberFormat="1" applyFont="1" applyFill="1" applyBorder="1" applyAlignment="1">
      <alignment horizontal="left" vertical="center"/>
    </xf>
    <xf numFmtId="49" fontId="2" fillId="0" borderId="0" xfId="28" applyNumberFormat="1" applyFont="1" applyFill="1" applyAlignment="1">
      <alignment horizontal="center" vertical="center"/>
    </xf>
    <xf numFmtId="7" fontId="24" fillId="0" borderId="0" xfId="0" applyNumberFormat="1" applyFont="1" applyFill="1" applyAlignment="1">
      <alignment horizontal="left" vertical="center"/>
    </xf>
    <xf numFmtId="7" fontId="26" fillId="0" borderId="0" xfId="0" applyNumberFormat="1" applyFont="1" applyFill="1" applyAlignment="1">
      <alignment horizontal="left" vertical="center"/>
    </xf>
    <xf numFmtId="42" fontId="2" fillId="0" borderId="0" xfId="0" applyNumberFormat="1" applyFont="1" applyAlignment="1">
      <alignment horizontal="right" vertical="center"/>
    </xf>
    <xf numFmtId="42" fontId="2" fillId="0" borderId="10" xfId="0" applyNumberFormat="1" applyFont="1" applyBorder="1" applyAlignment="1">
      <alignment horizontal="right" vertical="center"/>
    </xf>
    <xf numFmtId="42" fontId="24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6" fontId="2" fillId="0" borderId="0" xfId="0" applyNumberFormat="1" applyFont="1" applyFill="1" applyAlignment="1">
      <alignment horizontal="right" vertical="center"/>
    </xf>
    <xf numFmtId="49" fontId="2" fillId="0" borderId="0" xfId="28" applyNumberFormat="1" applyFont="1" applyFill="1" applyAlignment="1">
      <alignment horizontal="left" vertical="center"/>
    </xf>
    <xf numFmtId="49" fontId="2" fillId="0" borderId="0" xfId="28" applyNumberFormat="1" applyFont="1" applyFill="1" applyAlignment="1">
      <alignment horizontal="right" vertical="center"/>
    </xf>
    <xf numFmtId="49" fontId="26" fillId="0" borderId="0" xfId="28" applyNumberFormat="1" applyFont="1" applyFill="1" applyAlignment="1">
      <alignment horizontal="right" vertical="center"/>
    </xf>
    <xf numFmtId="6" fontId="24" fillId="0" borderId="0" xfId="0" applyNumberFormat="1" applyFont="1" applyFill="1" applyAlignment="1">
      <alignment horizontal="right" vertical="center"/>
    </xf>
    <xf numFmtId="6" fontId="2" fillId="0" borderId="10" xfId="0" applyNumberFormat="1" applyFont="1" applyBorder="1" applyAlignment="1">
      <alignment horizontal="right" vertical="center"/>
    </xf>
    <xf numFmtId="41" fontId="24" fillId="0" borderId="0" xfId="0" applyNumberFormat="1" applyFont="1" applyAlignment="1">
      <alignment horizontal="left" vertical="center"/>
    </xf>
    <xf numFmtId="42" fontId="24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6" fillId="0" borderId="0" xfId="0" applyNumberFormat="1" applyFont="1" applyAlignment="1">
      <alignment horizontal="right" vertical="center"/>
    </xf>
    <xf numFmtId="42" fontId="2" fillId="0" borderId="0" xfId="0" applyNumberFormat="1" applyFont="1" applyFill="1" applyAlignment="1">
      <alignment horizontal="right" vertical="center"/>
    </xf>
    <xf numFmtId="42" fontId="2" fillId="0" borderId="1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42" fontId="24" fillId="0" borderId="0" xfId="0" applyNumberFormat="1" applyFont="1" applyFill="1" applyAlignment="1">
      <alignment horizontal="right" vertical="center"/>
    </xf>
    <xf numFmtId="41" fontId="24" fillId="0" borderId="0" xfId="28" applyNumberFormat="1" applyFont="1" applyFill="1" applyAlignment="1">
      <alignment horizontal="right" vertical="center"/>
    </xf>
    <xf numFmtId="44" fontId="2" fillId="0" borderId="0" xfId="0" applyNumberFormat="1" applyFont="1" applyAlignment="1">
      <alignment horizontal="right" vertical="center"/>
    </xf>
    <xf numFmtId="44" fontId="2" fillId="0" borderId="0" xfId="0" applyNumberFormat="1" applyFont="1" applyFill="1" applyAlignment="1">
      <alignment horizontal="right" vertical="center"/>
    </xf>
    <xf numFmtId="42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7" fontId="2" fillId="0" borderId="0" xfId="0" applyNumberFormat="1" applyFont="1" applyAlignment="1">
      <alignment horizontal="center" vertical="center"/>
    </xf>
    <xf numFmtId="165" fontId="2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42" fontId="24" fillId="0" borderId="10" xfId="0" applyNumberFormat="1" applyFont="1" applyFill="1" applyBorder="1" applyAlignment="1">
      <alignment horizontal="right" vertical="center"/>
    </xf>
    <xf numFmtId="42" fontId="24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42" fontId="26" fillId="0" borderId="0" xfId="0" applyNumberFormat="1" applyFont="1" applyAlignment="1">
      <alignment horizontal="right" vertical="center"/>
    </xf>
    <xf numFmtId="42" fontId="26" fillId="0" borderId="0" xfId="0" applyNumberFormat="1" applyFont="1" applyFill="1" applyAlignment="1">
      <alignment horizontal="right" vertical="center"/>
    </xf>
    <xf numFmtId="7" fontId="2" fillId="24" borderId="0" xfId="0" applyNumberFormat="1" applyFont="1" applyFill="1" applyAlignment="1">
      <alignment horizontal="right" vertical="center"/>
    </xf>
    <xf numFmtId="49" fontId="2" fillId="24" borderId="0" xfId="0" applyNumberFormat="1" applyFont="1" applyFill="1" applyAlignment="1">
      <alignment horizontal="right" vertical="center"/>
    </xf>
    <xf numFmtId="49" fontId="2" fillId="24" borderId="0" xfId="28" applyNumberFormat="1" applyFont="1" applyFill="1" applyAlignment="1">
      <alignment horizontal="right" vertical="center"/>
    </xf>
    <xf numFmtId="7" fontId="24" fillId="24" borderId="0" xfId="0" applyNumberFormat="1" applyFont="1" applyFill="1" applyAlignment="1">
      <alignment horizontal="right" vertical="center"/>
    </xf>
    <xf numFmtId="42" fontId="2" fillId="24" borderId="0" xfId="0" applyNumberFormat="1" applyFont="1" applyFill="1" applyAlignment="1">
      <alignment horizontal="right" vertical="center"/>
    </xf>
    <xf numFmtId="0" fontId="2" fillId="24" borderId="0" xfId="0" applyNumberFormat="1" applyFont="1" applyFill="1" applyAlignment="1">
      <alignment horizontal="right" vertical="center"/>
    </xf>
    <xf numFmtId="42" fontId="2" fillId="24" borderId="10" xfId="0" applyNumberFormat="1" applyFont="1" applyFill="1" applyBorder="1" applyAlignment="1">
      <alignment horizontal="right" vertical="center"/>
    </xf>
    <xf numFmtId="42" fontId="24" fillId="24" borderId="0" xfId="0" applyNumberFormat="1" applyFont="1" applyFill="1" applyAlignment="1">
      <alignment horizontal="right" vertical="center"/>
    </xf>
    <xf numFmtId="6" fontId="2" fillId="24" borderId="0" xfId="0" applyNumberFormat="1" applyFont="1" applyFill="1" applyAlignment="1">
      <alignment horizontal="right" vertical="center"/>
    </xf>
    <xf numFmtId="6" fontId="24" fillId="24" borderId="0" xfId="0" applyNumberFormat="1" applyFont="1" applyFill="1" applyAlignment="1">
      <alignment horizontal="right" vertical="center"/>
    </xf>
    <xf numFmtId="2" fontId="2" fillId="24" borderId="0" xfId="0" applyNumberFormat="1" applyFont="1" applyFill="1" applyAlignment="1">
      <alignment horizontal="right" vertical="center"/>
    </xf>
    <xf numFmtId="7" fontId="33" fillId="0" borderId="0" xfId="0" applyNumberFormat="1" applyFont="1" applyFill="1" applyAlignment="1">
      <alignment horizontal="left" vertical="center"/>
    </xf>
    <xf numFmtId="7" fontId="2" fillId="24" borderId="0" xfId="0" applyNumberFormat="1" applyFont="1" applyFill="1" applyAlignment="1">
      <alignment horizontal="center" vertical="center"/>
    </xf>
    <xf numFmtId="42" fontId="2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7" fontId="2" fillId="24" borderId="0" xfId="0" applyNumberFormat="1" applyFont="1" applyFill="1" applyBorder="1" applyAlignment="1">
      <alignment horizontal="right" vertical="center"/>
    </xf>
    <xf numFmtId="49" fontId="2" fillId="24" borderId="0" xfId="28" applyNumberFormat="1" applyFont="1" applyFill="1" applyBorder="1" applyAlignment="1">
      <alignment horizontal="right" vertical="center"/>
    </xf>
    <xf numFmtId="42" fontId="24" fillId="24" borderId="0" xfId="0" applyNumberFormat="1" applyFont="1" applyFill="1" applyBorder="1" applyAlignment="1">
      <alignment horizontal="right" vertical="center"/>
    </xf>
    <xf numFmtId="41" fontId="2" fillId="24" borderId="0" xfId="0" applyNumberFormat="1" applyFont="1" applyFill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28" applyNumberFormat="1" applyFont="1" applyAlignment="1">
      <alignment horizontal="right" vertical="center"/>
    </xf>
    <xf numFmtId="42" fontId="24" fillId="0" borderId="10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42" fontId="2" fillId="25" borderId="1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horizontal="right" vertical="center"/>
    </xf>
    <xf numFmtId="7" fontId="24" fillId="26" borderId="0" xfId="0" applyNumberFormat="1" applyFont="1" applyFill="1" applyAlignment="1">
      <alignment horizontal="right" vertical="center"/>
    </xf>
    <xf numFmtId="7" fontId="24" fillId="26" borderId="0" xfId="0" applyNumberFormat="1" applyFont="1" applyFill="1" applyAlignment="1">
      <alignment horizontal="center" vertical="center"/>
    </xf>
    <xf numFmtId="49" fontId="24" fillId="26" borderId="11" xfId="28" applyNumberFormat="1" applyFont="1" applyFill="1" applyBorder="1" applyAlignment="1">
      <alignment horizontal="center" vertical="center"/>
    </xf>
    <xf numFmtId="42" fontId="24" fillId="26" borderId="0" xfId="0" applyNumberFormat="1" applyFont="1" applyFill="1" applyAlignment="1">
      <alignment horizontal="right" vertical="center"/>
    </xf>
    <xf numFmtId="42" fontId="24" fillId="26" borderId="0" xfId="0" applyNumberFormat="1" applyFont="1" applyFill="1" applyBorder="1" applyAlignment="1">
      <alignment horizontal="right" vertical="center"/>
    </xf>
    <xf numFmtId="42" fontId="24" fillId="26" borderId="10" xfId="0" applyNumberFormat="1" applyFont="1" applyFill="1" applyBorder="1" applyAlignment="1">
      <alignment horizontal="right" vertical="center"/>
    </xf>
    <xf numFmtId="7" fontId="24" fillId="27" borderId="0" xfId="0" applyNumberFormat="1" applyFont="1" applyFill="1" applyAlignment="1">
      <alignment horizontal="right" vertical="center"/>
    </xf>
    <xf numFmtId="7" fontId="24" fillId="27" borderId="0" xfId="0" applyNumberFormat="1" applyFont="1" applyFill="1" applyAlignment="1">
      <alignment horizontal="center" vertical="center"/>
    </xf>
    <xf numFmtId="49" fontId="24" fillId="27" borderId="11" xfId="28" applyNumberFormat="1" applyFont="1" applyFill="1" applyBorder="1" applyAlignment="1">
      <alignment horizontal="center" vertical="center"/>
    </xf>
    <xf numFmtId="42" fontId="24" fillId="27" borderId="0" xfId="0" applyNumberFormat="1" applyFont="1" applyFill="1" applyAlignment="1">
      <alignment horizontal="right" vertical="center"/>
    </xf>
    <xf numFmtId="42" fontId="24" fillId="27" borderId="0" xfId="0" applyNumberFormat="1" applyFont="1" applyFill="1" applyBorder="1" applyAlignment="1">
      <alignment horizontal="right" vertical="center"/>
    </xf>
    <xf numFmtId="42" fontId="24" fillId="27" borderId="10" xfId="0" applyNumberFormat="1" applyFont="1" applyFill="1" applyBorder="1" applyAlignment="1">
      <alignment horizontal="right" vertical="center"/>
    </xf>
    <xf numFmtId="7" fontId="24" fillId="28" borderId="0" xfId="0" applyNumberFormat="1" applyFont="1" applyFill="1" applyAlignment="1">
      <alignment horizontal="right" vertical="center"/>
    </xf>
    <xf numFmtId="7" fontId="24" fillId="28" borderId="0" xfId="0" applyNumberFormat="1" applyFont="1" applyFill="1" applyAlignment="1">
      <alignment horizontal="center" vertical="center"/>
    </xf>
    <xf numFmtId="49" fontId="24" fillId="28" borderId="11" xfId="28" applyNumberFormat="1" applyFont="1" applyFill="1" applyBorder="1" applyAlignment="1">
      <alignment horizontal="center" vertical="center"/>
    </xf>
    <xf numFmtId="42" fontId="24" fillId="28" borderId="0" xfId="0" applyNumberFormat="1" applyFont="1" applyFill="1" applyAlignment="1">
      <alignment horizontal="right" vertical="center"/>
    </xf>
    <xf numFmtId="42" fontId="24" fillId="28" borderId="0" xfId="0" applyNumberFormat="1" applyFont="1" applyFill="1" applyBorder="1" applyAlignment="1">
      <alignment horizontal="right" vertical="center"/>
    </xf>
    <xf numFmtId="42" fontId="24" fillId="28" borderId="10" xfId="0" applyNumberFormat="1" applyFont="1" applyFill="1" applyBorder="1" applyAlignment="1">
      <alignment horizontal="right" vertical="center"/>
    </xf>
    <xf numFmtId="7" fontId="24" fillId="25" borderId="0" xfId="0" applyNumberFormat="1" applyFont="1" applyFill="1" applyAlignment="1">
      <alignment horizontal="right" vertical="center"/>
    </xf>
    <xf numFmtId="7" fontId="24" fillId="25" borderId="0" xfId="0" applyNumberFormat="1" applyFont="1" applyFill="1" applyAlignment="1">
      <alignment horizontal="center" vertical="center"/>
    </xf>
    <xf numFmtId="49" fontId="24" fillId="25" borderId="11" xfId="28" applyNumberFormat="1" applyFont="1" applyFill="1" applyBorder="1" applyAlignment="1">
      <alignment horizontal="center" vertical="center"/>
    </xf>
    <xf numFmtId="42" fontId="24" fillId="25" borderId="0" xfId="0" applyNumberFormat="1" applyFont="1" applyFill="1" applyAlignment="1">
      <alignment horizontal="right" vertical="center"/>
    </xf>
    <xf numFmtId="42" fontId="24" fillId="25" borderId="0" xfId="0" applyNumberFormat="1" applyFont="1" applyFill="1" applyBorder="1" applyAlignment="1">
      <alignment horizontal="right" vertical="center"/>
    </xf>
    <xf numFmtId="42" fontId="24" fillId="25" borderId="10" xfId="0" applyNumberFormat="1" applyFont="1" applyFill="1" applyBorder="1" applyAlignment="1">
      <alignment horizontal="right" vertical="center"/>
    </xf>
    <xf numFmtId="49" fontId="2" fillId="0" borderId="0" xfId="28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right" vertical="center"/>
    </xf>
    <xf numFmtId="7" fontId="24" fillId="29" borderId="0" xfId="0" applyNumberFormat="1" applyFont="1" applyFill="1" applyAlignment="1">
      <alignment horizontal="right" vertical="center"/>
    </xf>
    <xf numFmtId="7" fontId="24" fillId="29" borderId="0" xfId="0" applyNumberFormat="1" applyFont="1" applyFill="1" applyAlignment="1">
      <alignment horizontal="center" vertical="center"/>
    </xf>
    <xf numFmtId="49" fontId="24" fillId="29" borderId="11" xfId="28" applyNumberFormat="1" applyFont="1" applyFill="1" applyBorder="1" applyAlignment="1">
      <alignment horizontal="center" vertical="center"/>
    </xf>
    <xf numFmtId="42" fontId="24" fillId="29" borderId="0" xfId="0" applyNumberFormat="1" applyFont="1" applyFill="1" applyAlignment="1">
      <alignment horizontal="right" vertical="center"/>
    </xf>
    <xf numFmtId="42" fontId="24" fillId="29" borderId="0" xfId="0" applyNumberFormat="1" applyFont="1" applyFill="1" applyBorder="1" applyAlignment="1">
      <alignment horizontal="right" vertical="center"/>
    </xf>
    <xf numFmtId="42" fontId="24" fillId="29" borderId="10" xfId="0" applyNumberFormat="1" applyFont="1" applyFill="1" applyBorder="1" applyAlignment="1">
      <alignment horizontal="right" vertical="center"/>
    </xf>
    <xf numFmtId="7" fontId="24" fillId="27" borderId="0" xfId="0" quotePrefix="1" applyNumberFormat="1" applyFont="1" applyFill="1" applyAlignment="1">
      <alignment horizontal="center" vertical="center"/>
    </xf>
    <xf numFmtId="7" fontId="24" fillId="29" borderId="0" xfId="0" quotePrefix="1" applyNumberFormat="1" applyFont="1" applyFill="1" applyAlignment="1">
      <alignment horizontal="center" vertical="center"/>
    </xf>
    <xf numFmtId="7" fontId="24" fillId="26" borderId="0" xfId="0" quotePrefix="1" applyNumberFormat="1" applyFont="1" applyFill="1" applyAlignment="1">
      <alignment horizontal="center" vertical="center"/>
    </xf>
    <xf numFmtId="7" fontId="24" fillId="25" borderId="0" xfId="0" quotePrefix="1" applyNumberFormat="1" applyFont="1" applyFill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 horizontal="right" vertical="center"/>
    </xf>
    <xf numFmtId="0" fontId="37" fillId="0" borderId="0" xfId="38" applyFont="1" applyAlignment="1">
      <alignment horizontal="centerContinuous"/>
    </xf>
    <xf numFmtId="4" fontId="37" fillId="0" borderId="0" xfId="38" applyNumberFormat="1" applyFont="1" applyAlignment="1">
      <alignment horizontal="centerContinuous"/>
    </xf>
    <xf numFmtId="42" fontId="37" fillId="0" borderId="0" xfId="38" applyNumberFormat="1" applyFont="1" applyAlignment="1">
      <alignment horizontal="centerContinuous"/>
    </xf>
    <xf numFmtId="3" fontId="37" fillId="0" borderId="0" xfId="38" applyNumberFormat="1" applyFont="1" applyAlignment="1">
      <alignment horizontal="centerContinuous"/>
    </xf>
    <xf numFmtId="0" fontId="39" fillId="0" borderId="0" xfId="38"/>
    <xf numFmtId="14" fontId="37" fillId="0" borderId="0" xfId="38" applyNumberFormat="1" applyFont="1" applyAlignment="1">
      <alignment horizontal="centerContinuous"/>
    </xf>
    <xf numFmtId="0" fontId="38" fillId="0" borderId="0" xfId="38" applyFont="1" applyAlignment="1">
      <alignment horizontal="center"/>
    </xf>
    <xf numFmtId="4" fontId="38" fillId="0" borderId="0" xfId="38" applyNumberFormat="1" applyFont="1" applyAlignment="1">
      <alignment horizontal="center"/>
    </xf>
    <xf numFmtId="42" fontId="38" fillId="0" borderId="0" xfId="38" applyNumberFormat="1" applyFont="1" applyAlignment="1">
      <alignment horizontal="center" wrapText="1"/>
    </xf>
    <xf numFmtId="4" fontId="38" fillId="30" borderId="0" xfId="38" applyNumberFormat="1" applyFont="1" applyFill="1" applyAlignment="1">
      <alignment horizontal="center"/>
    </xf>
    <xf numFmtId="3" fontId="38" fillId="0" borderId="0" xfId="38" applyNumberFormat="1" applyFont="1" applyAlignment="1">
      <alignment horizontal="center" wrapText="1"/>
    </xf>
    <xf numFmtId="3" fontId="38" fillId="30" borderId="0" xfId="38" applyNumberFormat="1" applyFont="1" applyFill="1" applyAlignment="1">
      <alignment horizontal="center"/>
    </xf>
    <xf numFmtId="3" fontId="38" fillId="0" borderId="0" xfId="38" applyNumberFormat="1" applyFont="1" applyAlignment="1">
      <alignment horizontal="center"/>
    </xf>
    <xf numFmtId="4" fontId="39" fillId="0" borderId="0" xfId="38" applyNumberFormat="1"/>
    <xf numFmtId="42" fontId="36" fillId="0" borderId="0" xfId="38" applyNumberFormat="1" applyFont="1"/>
    <xf numFmtId="4" fontId="39" fillId="30" borderId="0" xfId="38" applyNumberFormat="1" applyFill="1"/>
    <xf numFmtId="3" fontId="36" fillId="30" borderId="0" xfId="38" applyNumberFormat="1" applyFont="1" applyFill="1"/>
    <xf numFmtId="166" fontId="36" fillId="0" borderId="0" xfId="38" applyNumberFormat="1" applyFont="1"/>
    <xf numFmtId="42" fontId="39" fillId="0" borderId="0" xfId="38" applyNumberFormat="1"/>
    <xf numFmtId="44" fontId="39" fillId="0" borderId="0" xfId="38" applyNumberFormat="1"/>
    <xf numFmtId="3" fontId="36" fillId="0" borderId="0" xfId="38" applyNumberFormat="1" applyFont="1"/>
    <xf numFmtId="44" fontId="36" fillId="0" borderId="0" xfId="38" applyNumberFormat="1" applyFont="1"/>
    <xf numFmtId="4" fontId="36" fillId="30" borderId="0" xfId="38" applyNumberFormat="1" applyFont="1" applyFill="1"/>
    <xf numFmtId="4" fontId="36" fillId="0" borderId="0" xfId="38" applyNumberFormat="1" applyFont="1"/>
    <xf numFmtId="42" fontId="36" fillId="0" borderId="0" xfId="38" applyNumberFormat="1" applyFont="1" applyFill="1"/>
    <xf numFmtId="43" fontId="2" fillId="0" borderId="0" xfId="0" applyNumberFormat="1" applyFont="1" applyAlignment="1">
      <alignment horizontal="right" vertical="center"/>
    </xf>
    <xf numFmtId="43" fontId="26" fillId="0" borderId="0" xfId="0" applyNumberFormat="1" applyFont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horizontal="right" vertical="center"/>
    </xf>
    <xf numFmtId="7" fontId="24" fillId="28" borderId="0" xfId="0" quotePrefix="1" applyNumberFormat="1" applyFont="1" applyFill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49" fontId="24" fillId="0" borderId="0" xfId="28" applyNumberFormat="1" applyFont="1" applyAlignment="1">
      <alignment horizontal="center" vertical="center"/>
    </xf>
    <xf numFmtId="43" fontId="24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horizontal="left" vertical="center"/>
    </xf>
    <xf numFmtId="42" fontId="2" fillId="0" borderId="0" xfId="28" applyNumberFormat="1" applyFont="1" applyAlignment="1">
      <alignment horizontal="right" vertical="center"/>
    </xf>
    <xf numFmtId="42" fontId="24" fillId="0" borderId="0" xfId="0" applyNumberFormat="1" applyFont="1" applyBorder="1" applyAlignment="1">
      <alignment horizontal="right" vertical="center"/>
    </xf>
    <xf numFmtId="43" fontId="24" fillId="0" borderId="0" xfId="0" applyNumberFormat="1" applyFont="1" applyAlignment="1">
      <alignment horizontal="right" vertical="center"/>
    </xf>
    <xf numFmtId="49" fontId="2" fillId="0" borderId="0" xfId="28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1" fontId="2" fillId="24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4" fillId="24" borderId="0" xfId="0" applyNumberFormat="1" applyFont="1" applyFill="1" applyBorder="1" applyAlignment="1">
      <alignment horizontal="right" vertical="center"/>
    </xf>
    <xf numFmtId="41" fontId="24" fillId="24" borderId="0" xfId="0" applyNumberFormat="1" applyFont="1" applyFill="1" applyAlignment="1">
      <alignment horizontal="righ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2010-2011 Budget 09-2010 Revision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workbookViewId="0">
      <selection activeCell="F14" sqref="F14"/>
    </sheetView>
  </sheetViews>
  <sheetFormatPr defaultRowHeight="12.75"/>
  <cols>
    <col min="1" max="1" width="1.85546875" style="3" customWidth="1"/>
    <col min="2" max="2" width="2.85546875" style="3" customWidth="1"/>
    <col min="3" max="3" width="3" style="3" customWidth="1"/>
    <col min="4" max="4" width="9.140625" style="3"/>
    <col min="5" max="5" width="1.42578125" style="3" customWidth="1"/>
    <col min="6" max="6" width="9.140625" style="3"/>
    <col min="7" max="7" width="1.42578125" style="3" customWidth="1"/>
    <col min="8" max="8" width="9.140625" style="3"/>
    <col min="9" max="9" width="1.42578125" style="3" customWidth="1"/>
    <col min="10" max="10" width="11.140625" style="3" customWidth="1"/>
    <col min="11" max="11" width="1.42578125" style="3" customWidth="1"/>
    <col min="12" max="16384" width="9.140625" style="3"/>
  </cols>
  <sheetData>
    <row r="1" spans="1:14">
      <c r="A1" s="3" t="s">
        <v>149</v>
      </c>
    </row>
    <row r="2" spans="1:14">
      <c r="C2" s="3" t="s">
        <v>109</v>
      </c>
    </row>
    <row r="3" spans="1:14">
      <c r="B3" s="3" t="str">
        <f ca="1">'OP-SCH'!B3</f>
        <v>Level</v>
      </c>
      <c r="D3" s="3" t="s">
        <v>118</v>
      </c>
      <c r="F3" s="3" t="s">
        <v>115</v>
      </c>
      <c r="H3" s="3" t="s">
        <v>116</v>
      </c>
      <c r="J3" s="3" t="s">
        <v>112</v>
      </c>
      <c r="L3" s="3" t="s">
        <v>113</v>
      </c>
    </row>
    <row r="4" spans="1:14">
      <c r="C4" s="3">
        <v>1</v>
      </c>
      <c r="D4" s="19">
        <f>46000*0.99-600</f>
        <v>44940</v>
      </c>
      <c r="E4" s="19"/>
      <c r="F4" s="19">
        <f>+D4+1500</f>
        <v>46440</v>
      </c>
      <c r="G4" s="19"/>
      <c r="H4" s="19">
        <f>F4+1500</f>
        <v>47940</v>
      </c>
      <c r="I4" s="19"/>
      <c r="J4" s="19">
        <f>H4+500</f>
        <v>48440</v>
      </c>
      <c r="K4" s="19"/>
      <c r="L4" s="19">
        <f>J4+750</f>
        <v>49190</v>
      </c>
      <c r="M4" s="19"/>
      <c r="N4" s="19"/>
    </row>
    <row r="5" spans="1:14">
      <c r="C5" s="3">
        <v>2</v>
      </c>
      <c r="D5" s="19">
        <f t="shared" ref="D5:D18" si="0">D4*1.03</f>
        <v>46288.200000000004</v>
      </c>
      <c r="E5" s="19"/>
      <c r="F5" s="19">
        <f t="shared" ref="F5:F13" si="1">+D5*1.03</f>
        <v>47676.846000000005</v>
      </c>
      <c r="G5" s="19"/>
      <c r="H5" s="19">
        <f t="shared" ref="H5:H13" si="2">F5*1.03</f>
        <v>49107.151380000003</v>
      </c>
      <c r="I5" s="19"/>
      <c r="J5" s="19">
        <f t="shared" ref="J5:J13" si="3">H5*1.03</f>
        <v>50580.365921400007</v>
      </c>
      <c r="K5" s="19"/>
      <c r="L5" s="19">
        <f t="shared" ref="L5:L13" si="4">J5*1.03</f>
        <v>52097.776899042008</v>
      </c>
      <c r="M5" s="19"/>
      <c r="N5" s="19"/>
    </row>
    <row r="6" spans="1:14">
      <c r="C6" s="3">
        <v>3</v>
      </c>
      <c r="D6" s="19">
        <f t="shared" si="0"/>
        <v>47676.846000000005</v>
      </c>
      <c r="E6" s="19"/>
      <c r="F6" s="19">
        <f t="shared" si="1"/>
        <v>49107.151380000003</v>
      </c>
      <c r="G6" s="19"/>
      <c r="H6" s="19">
        <f t="shared" si="2"/>
        <v>50580.365921400007</v>
      </c>
      <c r="I6" s="19"/>
      <c r="J6" s="19">
        <f t="shared" si="3"/>
        <v>52097.776899042008</v>
      </c>
      <c r="K6" s="19"/>
      <c r="L6" s="19">
        <f t="shared" si="4"/>
        <v>53660.710206013267</v>
      </c>
      <c r="M6" s="19"/>
      <c r="N6" s="19"/>
    </row>
    <row r="7" spans="1:14">
      <c r="C7" s="3">
        <v>4</v>
      </c>
      <c r="D7" s="19">
        <f t="shared" si="0"/>
        <v>49107.151380000003</v>
      </c>
      <c r="E7" s="19"/>
      <c r="F7" s="19">
        <f t="shared" si="1"/>
        <v>50580.365921400007</v>
      </c>
      <c r="G7" s="19"/>
      <c r="H7" s="19">
        <f t="shared" si="2"/>
        <v>52097.776899042008</v>
      </c>
      <c r="I7" s="19"/>
      <c r="J7" s="19">
        <f t="shared" si="3"/>
        <v>53660.710206013267</v>
      </c>
      <c r="K7" s="19"/>
      <c r="L7" s="19">
        <f t="shared" si="4"/>
        <v>55270.531512193666</v>
      </c>
      <c r="M7" s="19"/>
      <c r="N7" s="19"/>
    </row>
    <row r="8" spans="1:14">
      <c r="C8" s="3">
        <v>5</v>
      </c>
      <c r="D8" s="19">
        <f t="shared" si="0"/>
        <v>50580.365921400007</v>
      </c>
      <c r="E8" s="19"/>
      <c r="F8" s="19">
        <f t="shared" si="1"/>
        <v>52097.776899042008</v>
      </c>
      <c r="G8" s="19"/>
      <c r="H8" s="19">
        <f t="shared" si="2"/>
        <v>53660.710206013267</v>
      </c>
      <c r="I8" s="19"/>
      <c r="J8" s="19">
        <f t="shared" si="3"/>
        <v>55270.531512193666</v>
      </c>
      <c r="K8" s="19"/>
      <c r="L8" s="19">
        <f t="shared" si="4"/>
        <v>56928.647457559477</v>
      </c>
      <c r="M8" s="19"/>
      <c r="N8" s="19"/>
    </row>
    <row r="9" spans="1:14">
      <c r="C9" s="3">
        <v>6</v>
      </c>
      <c r="D9" s="19">
        <f t="shared" si="0"/>
        <v>52097.776899042008</v>
      </c>
      <c r="E9" s="19"/>
      <c r="F9" s="19">
        <f t="shared" si="1"/>
        <v>53660.710206013267</v>
      </c>
      <c r="G9" s="19"/>
      <c r="H9" s="19">
        <f t="shared" si="2"/>
        <v>55270.531512193666</v>
      </c>
      <c r="I9" s="19"/>
      <c r="J9" s="19">
        <f t="shared" si="3"/>
        <v>56928.647457559477</v>
      </c>
      <c r="K9" s="19"/>
      <c r="L9" s="19">
        <f t="shared" si="4"/>
        <v>58636.506881286259</v>
      </c>
      <c r="M9" s="19"/>
      <c r="N9" s="19"/>
    </row>
    <row r="10" spans="1:14">
      <c r="C10" s="3">
        <v>7</v>
      </c>
      <c r="D10" s="19">
        <f t="shared" si="0"/>
        <v>53660.710206013267</v>
      </c>
      <c r="E10" s="19"/>
      <c r="F10" s="19">
        <f t="shared" si="1"/>
        <v>55270.531512193666</v>
      </c>
      <c r="G10" s="19"/>
      <c r="H10" s="19">
        <f t="shared" si="2"/>
        <v>56928.647457559477</v>
      </c>
      <c r="I10" s="19"/>
      <c r="J10" s="19">
        <f t="shared" si="3"/>
        <v>58636.506881286259</v>
      </c>
      <c r="K10" s="19"/>
      <c r="L10" s="19">
        <f t="shared" si="4"/>
        <v>60395.602087724852</v>
      </c>
      <c r="M10" s="19"/>
      <c r="N10" s="19"/>
    </row>
    <row r="11" spans="1:14">
      <c r="C11" s="3">
        <v>8</v>
      </c>
      <c r="D11" s="19">
        <f t="shared" si="0"/>
        <v>55270.531512193666</v>
      </c>
      <c r="E11" s="19"/>
      <c r="F11" s="19">
        <f t="shared" si="1"/>
        <v>56928.647457559477</v>
      </c>
      <c r="G11" s="19"/>
      <c r="H11" s="19">
        <f t="shared" si="2"/>
        <v>58636.506881286259</v>
      </c>
      <c r="I11" s="19"/>
      <c r="J11" s="19">
        <f t="shared" si="3"/>
        <v>60395.602087724852</v>
      </c>
      <c r="K11" s="19"/>
      <c r="L11" s="19">
        <f t="shared" si="4"/>
        <v>62207.470150356596</v>
      </c>
      <c r="M11" s="19"/>
      <c r="N11" s="19"/>
    </row>
    <row r="12" spans="1:14">
      <c r="C12" s="3">
        <v>9</v>
      </c>
      <c r="D12" s="19">
        <f t="shared" si="0"/>
        <v>56928.647457559477</v>
      </c>
      <c r="E12" s="19"/>
      <c r="F12" s="19">
        <f t="shared" si="1"/>
        <v>58636.506881286259</v>
      </c>
      <c r="G12" s="19"/>
      <c r="H12" s="19">
        <f t="shared" si="2"/>
        <v>60395.602087724852</v>
      </c>
      <c r="I12" s="19"/>
      <c r="J12" s="19">
        <f t="shared" si="3"/>
        <v>62207.470150356596</v>
      </c>
      <c r="K12" s="19"/>
      <c r="L12" s="19">
        <f t="shared" si="4"/>
        <v>64073.694254867296</v>
      </c>
      <c r="M12" s="19"/>
      <c r="N12" s="19"/>
    </row>
    <row r="13" spans="1:14">
      <c r="C13" s="3">
        <v>10</v>
      </c>
      <c r="D13" s="19">
        <f t="shared" si="0"/>
        <v>58636.506881286259</v>
      </c>
      <c r="E13" s="19"/>
      <c r="F13" s="19">
        <f t="shared" si="1"/>
        <v>60395.602087724852</v>
      </c>
      <c r="G13" s="19"/>
      <c r="H13" s="19">
        <f t="shared" si="2"/>
        <v>62207.470150356596</v>
      </c>
      <c r="I13" s="19"/>
      <c r="J13" s="19">
        <f t="shared" si="3"/>
        <v>64073.694254867296</v>
      </c>
      <c r="K13" s="19"/>
      <c r="L13" s="19">
        <f t="shared" si="4"/>
        <v>65995.905082513316</v>
      </c>
      <c r="M13" s="19"/>
      <c r="N13" s="19"/>
    </row>
    <row r="14" spans="1:14">
      <c r="C14" s="3">
        <v>11</v>
      </c>
      <c r="D14" s="19">
        <f t="shared" si="0"/>
        <v>60395.602087724852</v>
      </c>
      <c r="E14" s="19"/>
      <c r="F14" s="19">
        <f>+D14*1.03</f>
        <v>62207.470150356596</v>
      </c>
      <c r="G14" s="19"/>
      <c r="H14" s="19">
        <f>F14*1.03</f>
        <v>64073.694254867296</v>
      </c>
      <c r="I14" s="19"/>
      <c r="J14" s="19">
        <f>H14*1.03</f>
        <v>65995.905082513316</v>
      </c>
      <c r="K14" s="19"/>
      <c r="L14" s="19">
        <f>J14*1.03</f>
        <v>67975.782234988714</v>
      </c>
      <c r="M14" s="19"/>
      <c r="N14" s="19"/>
    </row>
    <row r="15" spans="1:14">
      <c r="C15" s="3">
        <v>12</v>
      </c>
      <c r="D15" s="19">
        <f t="shared" si="0"/>
        <v>62207.470150356596</v>
      </c>
      <c r="E15" s="19"/>
      <c r="F15" s="19">
        <f>+D15*1.03</f>
        <v>64073.694254867296</v>
      </c>
      <c r="G15" s="19"/>
      <c r="H15" s="19">
        <f>F15*1.03</f>
        <v>65995.905082513316</v>
      </c>
      <c r="I15" s="19"/>
      <c r="J15" s="19">
        <f>H15*1.03</f>
        <v>67975.782234988714</v>
      </c>
      <c r="K15" s="19"/>
      <c r="L15" s="19">
        <f>J15*1.03</f>
        <v>70015.055702038371</v>
      </c>
      <c r="M15" s="19"/>
      <c r="N15" s="19"/>
    </row>
    <row r="16" spans="1:14">
      <c r="C16" s="3">
        <v>13</v>
      </c>
      <c r="D16" s="19">
        <f t="shared" si="0"/>
        <v>64073.694254867296</v>
      </c>
      <c r="E16" s="19"/>
      <c r="F16" s="19">
        <f>+D16*1.03</f>
        <v>65995.905082513316</v>
      </c>
      <c r="G16" s="19"/>
      <c r="H16" s="19">
        <f>F16*1.03</f>
        <v>67975.782234988714</v>
      </c>
      <c r="I16" s="19"/>
      <c r="J16" s="19">
        <f>H16*1.03</f>
        <v>70015.055702038371</v>
      </c>
      <c r="K16" s="19"/>
      <c r="L16" s="19">
        <f>J16*1.03</f>
        <v>72115.507373099521</v>
      </c>
      <c r="M16" s="19"/>
      <c r="N16" s="19"/>
    </row>
    <row r="17" spans="1:14">
      <c r="C17" s="3">
        <v>14</v>
      </c>
      <c r="D17" s="19">
        <f t="shared" si="0"/>
        <v>65995.905082513316</v>
      </c>
      <c r="E17" s="19"/>
      <c r="F17" s="19">
        <f>+D17*1.03</f>
        <v>67975.782234988714</v>
      </c>
      <c r="G17" s="19"/>
      <c r="H17" s="19">
        <f>F17*1.03</f>
        <v>70015.055702038371</v>
      </c>
      <c r="I17" s="19"/>
      <c r="J17" s="19">
        <f>H17*1.03</f>
        <v>72115.507373099521</v>
      </c>
      <c r="K17" s="19"/>
      <c r="L17" s="19">
        <f>J17*1.03</f>
        <v>74278.972594292514</v>
      </c>
      <c r="M17" s="19"/>
      <c r="N17" s="19"/>
    </row>
    <row r="18" spans="1:14">
      <c r="C18" s="3">
        <v>15</v>
      </c>
      <c r="D18" s="19">
        <f t="shared" si="0"/>
        <v>67975.782234988714</v>
      </c>
      <c r="E18" s="19"/>
      <c r="F18" s="19">
        <f>+D18*1.03</f>
        <v>70015.055702038371</v>
      </c>
      <c r="G18" s="19"/>
      <c r="H18" s="19">
        <f>F18*1.03</f>
        <v>72115.507373099521</v>
      </c>
      <c r="I18" s="19"/>
      <c r="J18" s="19">
        <f>H18*1.03</f>
        <v>74278.972594292514</v>
      </c>
      <c r="K18" s="19"/>
      <c r="L18" s="19">
        <f>J18*1.03</f>
        <v>76507.34177212129</v>
      </c>
      <c r="M18" s="19"/>
      <c r="N18" s="19"/>
    </row>
    <row r="19" spans="1:14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>
      <c r="A21" s="3" t="s">
        <v>150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>
      <c r="C22" s="3" t="s">
        <v>109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>
      <c r="B23" s="3" t="str">
        <f>B3</f>
        <v>Level</v>
      </c>
      <c r="D23" s="19" t="s">
        <v>118</v>
      </c>
      <c r="E23" s="19"/>
      <c r="F23" s="19" t="s">
        <v>115</v>
      </c>
      <c r="G23" s="19"/>
      <c r="H23" s="21" t="s">
        <v>423</v>
      </c>
      <c r="I23" s="19"/>
      <c r="J23" s="19"/>
      <c r="K23" s="19"/>
      <c r="L23" s="19"/>
      <c r="M23" s="19"/>
      <c r="N23" s="19"/>
    </row>
    <row r="24" spans="1:14">
      <c r="C24" s="3">
        <v>1</v>
      </c>
      <c r="D24" s="19">
        <v>24766</v>
      </c>
      <c r="E24" s="19"/>
      <c r="F24" s="19">
        <f>+D24+1500</f>
        <v>26266</v>
      </c>
      <c r="G24" s="19"/>
      <c r="H24" s="19">
        <v>31625</v>
      </c>
      <c r="I24" s="19"/>
      <c r="J24" s="19"/>
      <c r="K24" s="19"/>
      <c r="L24" s="19"/>
      <c r="M24" s="19"/>
      <c r="N24" s="19"/>
    </row>
    <row r="25" spans="1:14">
      <c r="C25" s="3">
        <v>2</v>
      </c>
      <c r="D25" s="19">
        <f t="shared" ref="D25:D33" si="5">D24*1.03</f>
        <v>25508.98</v>
      </c>
      <c r="E25" s="19"/>
      <c r="F25" s="19">
        <f t="shared" ref="F25:F33" si="6">+D25*1.03</f>
        <v>26274.249400000001</v>
      </c>
      <c r="G25" s="19"/>
      <c r="H25" s="19">
        <f>H24*1.03</f>
        <v>32573.75</v>
      </c>
      <c r="I25" s="19"/>
      <c r="J25" s="19"/>
      <c r="K25" s="19"/>
      <c r="L25" s="19"/>
      <c r="M25" s="19"/>
      <c r="N25" s="19"/>
    </row>
    <row r="26" spans="1:14">
      <c r="C26" s="3">
        <v>3</v>
      </c>
      <c r="D26" s="19">
        <f t="shared" si="5"/>
        <v>26274.249400000001</v>
      </c>
      <c r="E26" s="19"/>
      <c r="F26" s="19">
        <f t="shared" si="6"/>
        <v>27062.476882000003</v>
      </c>
      <c r="G26" s="19"/>
      <c r="H26" s="19">
        <f t="shared" ref="H26:H33" si="7">H25*1.03</f>
        <v>33550.962500000001</v>
      </c>
      <c r="I26" s="19"/>
      <c r="J26" s="19"/>
      <c r="K26" s="19"/>
      <c r="L26" s="19"/>
      <c r="M26" s="19"/>
      <c r="N26" s="19"/>
    </row>
    <row r="27" spans="1:14">
      <c r="C27" s="3">
        <v>4</v>
      </c>
      <c r="D27" s="19">
        <f t="shared" si="5"/>
        <v>27062.476882000003</v>
      </c>
      <c r="E27" s="19"/>
      <c r="F27" s="19">
        <f t="shared" si="6"/>
        <v>27874.351188460005</v>
      </c>
      <c r="G27" s="19"/>
      <c r="H27" s="19">
        <f t="shared" si="7"/>
        <v>34557.491375000005</v>
      </c>
      <c r="I27" s="19"/>
      <c r="J27" s="19"/>
      <c r="K27" s="19"/>
      <c r="L27" s="19"/>
      <c r="M27" s="19"/>
      <c r="N27" s="19"/>
    </row>
    <row r="28" spans="1:14">
      <c r="C28" s="3">
        <v>5</v>
      </c>
      <c r="D28" s="19">
        <f t="shared" si="5"/>
        <v>27874.351188460005</v>
      </c>
      <c r="E28" s="19"/>
      <c r="F28" s="19">
        <f t="shared" si="6"/>
        <v>28710.581724113807</v>
      </c>
      <c r="G28" s="19"/>
      <c r="H28" s="19">
        <f t="shared" si="7"/>
        <v>35594.216116250005</v>
      </c>
      <c r="I28" s="19"/>
      <c r="J28" s="19"/>
      <c r="K28" s="19"/>
      <c r="L28" s="19"/>
      <c r="M28" s="19"/>
      <c r="N28" s="19"/>
    </row>
    <row r="29" spans="1:14">
      <c r="C29" s="3">
        <v>6</v>
      </c>
      <c r="D29" s="19">
        <f t="shared" si="5"/>
        <v>28710.581724113807</v>
      </c>
      <c r="E29" s="19"/>
      <c r="F29" s="19">
        <f t="shared" si="6"/>
        <v>29571.899175837221</v>
      </c>
      <c r="G29" s="19"/>
      <c r="H29" s="19">
        <f t="shared" si="7"/>
        <v>36662.042599737506</v>
      </c>
      <c r="I29" s="19"/>
      <c r="J29" s="19"/>
      <c r="K29" s="19"/>
      <c r="L29" s="19"/>
      <c r="M29" s="19"/>
      <c r="N29" s="19"/>
    </row>
    <row r="30" spans="1:14">
      <c r="C30" s="3">
        <v>7</v>
      </c>
      <c r="D30" s="19">
        <f t="shared" si="5"/>
        <v>29571.899175837221</v>
      </c>
      <c r="E30" s="19"/>
      <c r="F30" s="19">
        <f t="shared" si="6"/>
        <v>30459.056151112338</v>
      </c>
      <c r="G30" s="19"/>
      <c r="H30" s="19">
        <f t="shared" si="7"/>
        <v>37761.90387772963</v>
      </c>
      <c r="I30" s="19"/>
      <c r="J30" s="19"/>
      <c r="K30" s="19"/>
      <c r="L30" s="19"/>
      <c r="M30" s="19"/>
      <c r="N30" s="19"/>
    </row>
    <row r="31" spans="1:14">
      <c r="C31" s="3">
        <v>8</v>
      </c>
      <c r="D31" s="19">
        <f t="shared" si="5"/>
        <v>30459.056151112338</v>
      </c>
      <c r="E31" s="19"/>
      <c r="F31" s="19">
        <f t="shared" si="6"/>
        <v>31372.827835645709</v>
      </c>
      <c r="G31" s="19"/>
      <c r="H31" s="19">
        <f t="shared" si="7"/>
        <v>38894.760994061522</v>
      </c>
      <c r="I31" s="19"/>
      <c r="J31" s="19"/>
      <c r="K31" s="19"/>
      <c r="L31" s="19"/>
      <c r="M31" s="19"/>
      <c r="N31" s="19"/>
    </row>
    <row r="32" spans="1:14">
      <c r="C32" s="3">
        <v>9</v>
      </c>
      <c r="D32" s="19">
        <f t="shared" si="5"/>
        <v>31372.827835645709</v>
      </c>
      <c r="E32" s="19"/>
      <c r="F32" s="19">
        <f t="shared" si="6"/>
        <v>32314.012670715081</v>
      </c>
      <c r="G32" s="19"/>
      <c r="H32" s="19">
        <f t="shared" si="7"/>
        <v>40061.603823883372</v>
      </c>
      <c r="I32" s="19"/>
      <c r="J32" s="19"/>
      <c r="K32" s="19"/>
      <c r="L32" s="19"/>
      <c r="M32" s="19"/>
      <c r="N32" s="19"/>
    </row>
    <row r="33" spans="1:14">
      <c r="C33" s="3">
        <v>10</v>
      </c>
      <c r="D33" s="19">
        <f t="shared" si="5"/>
        <v>32314.012670715081</v>
      </c>
      <c r="E33" s="19"/>
      <c r="F33" s="19">
        <f t="shared" si="6"/>
        <v>33283.433050836531</v>
      </c>
      <c r="G33" s="19"/>
      <c r="H33" s="19">
        <f t="shared" si="7"/>
        <v>41263.451938599872</v>
      </c>
      <c r="I33" s="19"/>
      <c r="J33" s="19"/>
      <c r="K33" s="19"/>
      <c r="L33" s="19"/>
      <c r="M33" s="19"/>
      <c r="N33" s="19"/>
    </row>
    <row r="34" spans="1:14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3" t="s">
        <v>151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>
      <c r="C37" s="3" t="s">
        <v>109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>
      <c r="B38" s="3" t="str">
        <f>B23</f>
        <v>Level</v>
      </c>
      <c r="D38" s="19" t="s">
        <v>118</v>
      </c>
      <c r="E38" s="19"/>
      <c r="F38" s="19" t="s">
        <v>115</v>
      </c>
      <c r="G38" s="19"/>
      <c r="H38" s="19"/>
      <c r="I38" s="19"/>
      <c r="J38" s="19"/>
      <c r="K38" s="19"/>
      <c r="L38" s="19"/>
      <c r="M38" s="19"/>
      <c r="N38" s="19"/>
    </row>
    <row r="39" spans="1:14">
      <c r="C39" s="3">
        <v>1</v>
      </c>
      <c r="D39" s="19">
        <f>16400*0.99</f>
        <v>16236</v>
      </c>
      <c r="E39" s="19"/>
      <c r="F39" s="19">
        <f>+D39+1500</f>
        <v>17736</v>
      </c>
      <c r="G39" s="19"/>
      <c r="H39" s="19"/>
      <c r="I39" s="19"/>
      <c r="J39" s="19"/>
      <c r="K39" s="19"/>
      <c r="L39" s="19"/>
      <c r="M39" s="19"/>
      <c r="N39" s="19"/>
    </row>
    <row r="40" spans="1:14">
      <c r="C40" s="3">
        <v>2</v>
      </c>
      <c r="D40" s="19">
        <f t="shared" ref="D40:D48" si="8">D39*1.03</f>
        <v>16723.080000000002</v>
      </c>
      <c r="E40" s="19"/>
      <c r="F40" s="19">
        <f t="shared" ref="F40:F48" si="9">+D40*1.03</f>
        <v>17224.772400000002</v>
      </c>
      <c r="G40" s="19"/>
      <c r="H40" s="19"/>
      <c r="I40" s="19"/>
      <c r="J40" s="19"/>
      <c r="K40" s="19"/>
      <c r="L40" s="19"/>
      <c r="M40" s="19"/>
      <c r="N40" s="19"/>
    </row>
    <row r="41" spans="1:14">
      <c r="C41" s="3">
        <v>3</v>
      </c>
      <c r="D41" s="19">
        <f t="shared" si="8"/>
        <v>17224.772400000002</v>
      </c>
      <c r="E41" s="19"/>
      <c r="F41" s="19">
        <f t="shared" si="9"/>
        <v>17741.515572000004</v>
      </c>
      <c r="G41" s="19"/>
      <c r="H41" s="19"/>
      <c r="I41" s="19"/>
      <c r="J41" s="19"/>
      <c r="K41" s="19"/>
      <c r="L41" s="19"/>
      <c r="M41" s="19"/>
      <c r="N41" s="19"/>
    </row>
    <row r="42" spans="1:14">
      <c r="C42" s="3">
        <v>4</v>
      </c>
      <c r="D42" s="19">
        <f t="shared" si="8"/>
        <v>17741.515572000004</v>
      </c>
      <c r="E42" s="19"/>
      <c r="F42" s="19">
        <f t="shared" si="9"/>
        <v>18273.761039160003</v>
      </c>
      <c r="G42" s="19"/>
      <c r="H42" s="19"/>
      <c r="I42" s="19"/>
      <c r="J42" s="19"/>
      <c r="K42" s="19"/>
      <c r="L42" s="19"/>
      <c r="M42" s="19"/>
      <c r="N42" s="19"/>
    </row>
    <row r="43" spans="1:14">
      <c r="C43" s="3">
        <v>5</v>
      </c>
      <c r="D43" s="19">
        <f t="shared" si="8"/>
        <v>18273.761039160003</v>
      </c>
      <c r="E43" s="19"/>
      <c r="F43" s="19">
        <f t="shared" si="9"/>
        <v>18821.973870334805</v>
      </c>
      <c r="G43" s="19"/>
      <c r="H43" s="19"/>
      <c r="I43" s="19"/>
      <c r="J43" s="19"/>
      <c r="K43" s="19"/>
      <c r="L43" s="19"/>
      <c r="M43" s="19"/>
      <c r="N43" s="19"/>
    </row>
    <row r="44" spans="1:14">
      <c r="C44" s="3">
        <v>6</v>
      </c>
      <c r="D44" s="19">
        <f t="shared" si="8"/>
        <v>18821.973870334805</v>
      </c>
      <c r="E44" s="19"/>
      <c r="F44" s="19">
        <f t="shared" si="9"/>
        <v>19386.63308644485</v>
      </c>
      <c r="G44" s="19"/>
      <c r="H44" s="19"/>
      <c r="I44" s="19"/>
      <c r="J44" s="19"/>
      <c r="K44" s="19"/>
      <c r="L44" s="19"/>
      <c r="M44" s="19"/>
      <c r="N44" s="19"/>
    </row>
    <row r="45" spans="1:14">
      <c r="C45" s="3">
        <v>7</v>
      </c>
      <c r="D45" s="19">
        <f t="shared" si="8"/>
        <v>19386.63308644485</v>
      </c>
      <c r="E45" s="19"/>
      <c r="F45" s="19">
        <f t="shared" si="9"/>
        <v>19968.232079038196</v>
      </c>
      <c r="G45" s="19"/>
      <c r="H45" s="19"/>
      <c r="I45" s="19"/>
      <c r="J45" s="19"/>
      <c r="K45" s="19"/>
      <c r="L45" s="19"/>
      <c r="M45" s="19"/>
      <c r="N45" s="19"/>
    </row>
    <row r="46" spans="1:14">
      <c r="C46" s="3">
        <v>8</v>
      </c>
      <c r="D46" s="19">
        <f t="shared" si="8"/>
        <v>19968.232079038196</v>
      </c>
      <c r="E46" s="19"/>
      <c r="F46" s="19">
        <f t="shared" si="9"/>
        <v>20567.279041409343</v>
      </c>
      <c r="G46" s="19"/>
      <c r="H46" s="19"/>
      <c r="I46" s="19"/>
      <c r="J46" s="19"/>
      <c r="K46" s="19"/>
      <c r="L46" s="19"/>
      <c r="M46" s="19"/>
      <c r="N46" s="19"/>
    </row>
    <row r="47" spans="1:14">
      <c r="C47" s="3">
        <v>9</v>
      </c>
      <c r="D47" s="19">
        <f t="shared" si="8"/>
        <v>20567.279041409343</v>
      </c>
      <c r="E47" s="19"/>
      <c r="F47" s="19">
        <f t="shared" si="9"/>
        <v>21184.297412651624</v>
      </c>
      <c r="G47" s="19"/>
      <c r="H47" s="19"/>
      <c r="I47" s="19"/>
      <c r="J47" s="19"/>
      <c r="K47" s="19"/>
      <c r="L47" s="19"/>
      <c r="M47" s="19"/>
      <c r="N47" s="19"/>
    </row>
    <row r="48" spans="1:14">
      <c r="C48" s="3">
        <v>10</v>
      </c>
      <c r="D48" s="19">
        <f t="shared" si="8"/>
        <v>21184.297412651624</v>
      </c>
      <c r="E48" s="19"/>
      <c r="F48" s="19">
        <f t="shared" si="9"/>
        <v>21819.826335031172</v>
      </c>
      <c r="G48" s="19"/>
      <c r="H48" s="19"/>
      <c r="I48" s="19"/>
      <c r="J48" s="19"/>
      <c r="K48" s="19"/>
      <c r="L48" s="19"/>
      <c r="M48" s="19"/>
      <c r="N48" s="19"/>
    </row>
    <row r="49" spans="1:14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>
      <c r="A50" s="3" t="s">
        <v>152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C51" s="3" t="s">
        <v>109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B52" s="3" t="str">
        <f>B38</f>
        <v>Level</v>
      </c>
      <c r="D52" s="19" t="s">
        <v>118</v>
      </c>
      <c r="E52" s="19"/>
      <c r="F52" s="19" t="s">
        <v>115</v>
      </c>
      <c r="G52" s="19"/>
      <c r="H52" s="19" t="s">
        <v>153</v>
      </c>
      <c r="I52" s="19"/>
      <c r="J52" s="19"/>
      <c r="K52" s="19"/>
      <c r="L52" s="19"/>
      <c r="M52" s="19"/>
      <c r="N52" s="19"/>
    </row>
    <row r="53" spans="1:14">
      <c r="C53" s="3">
        <v>1</v>
      </c>
      <c r="D53" s="19">
        <f>16840*0.99</f>
        <v>16671.599999999999</v>
      </c>
      <c r="E53" s="19"/>
      <c r="F53" s="19">
        <f>+D53+1500</f>
        <v>18171.599999999999</v>
      </c>
      <c r="G53" s="19"/>
      <c r="H53" s="19">
        <f>19481+2197</f>
        <v>21678</v>
      </c>
      <c r="I53" s="19"/>
      <c r="J53" s="19"/>
      <c r="K53" s="19"/>
      <c r="L53" s="19"/>
      <c r="M53" s="19"/>
      <c r="N53" s="19"/>
    </row>
    <row r="54" spans="1:14">
      <c r="C54" s="3">
        <v>2</v>
      </c>
      <c r="D54" s="19">
        <f t="shared" ref="D54:D62" si="10">D53*1.03</f>
        <v>17171.748</v>
      </c>
      <c r="E54" s="19"/>
      <c r="F54" s="19">
        <f t="shared" ref="F54:F62" si="11">+D54*1.03</f>
        <v>17686.900440000001</v>
      </c>
      <c r="G54" s="19"/>
      <c r="H54" s="19">
        <f t="shared" ref="H54:H62" si="12">H53*1.03</f>
        <v>22328.34</v>
      </c>
      <c r="I54" s="19"/>
      <c r="J54" s="19"/>
      <c r="K54" s="19"/>
      <c r="L54" s="19"/>
      <c r="M54" s="19"/>
      <c r="N54" s="19"/>
    </row>
    <row r="55" spans="1:14">
      <c r="C55" s="3">
        <v>3</v>
      </c>
      <c r="D55" s="19">
        <f t="shared" si="10"/>
        <v>17686.900440000001</v>
      </c>
      <c r="E55" s="19"/>
      <c r="F55" s="19">
        <f t="shared" si="11"/>
        <v>18217.507453200004</v>
      </c>
      <c r="G55" s="19"/>
      <c r="H55" s="19">
        <f t="shared" si="12"/>
        <v>22998.190200000001</v>
      </c>
      <c r="I55" s="19"/>
      <c r="J55" s="19"/>
      <c r="K55" s="19"/>
      <c r="L55" s="19"/>
      <c r="M55" s="19"/>
      <c r="N55" s="19"/>
    </row>
    <row r="56" spans="1:14">
      <c r="C56" s="3">
        <v>4</v>
      </c>
      <c r="D56" s="19">
        <f t="shared" si="10"/>
        <v>18217.507453200004</v>
      </c>
      <c r="E56" s="19"/>
      <c r="F56" s="19">
        <f t="shared" si="11"/>
        <v>18764.032676796003</v>
      </c>
      <c r="G56" s="19"/>
      <c r="H56" s="19">
        <f t="shared" si="12"/>
        <v>23688.135906000003</v>
      </c>
      <c r="I56" s="19"/>
      <c r="J56" s="19"/>
      <c r="K56" s="19"/>
      <c r="L56" s="19"/>
      <c r="M56" s="19"/>
      <c r="N56" s="19"/>
    </row>
    <row r="57" spans="1:14">
      <c r="C57" s="3">
        <v>5</v>
      </c>
      <c r="D57" s="19">
        <f t="shared" si="10"/>
        <v>18764.032676796003</v>
      </c>
      <c r="E57" s="19"/>
      <c r="F57" s="19">
        <f t="shared" si="11"/>
        <v>19326.953657099883</v>
      </c>
      <c r="G57" s="19"/>
      <c r="H57" s="19">
        <f t="shared" si="12"/>
        <v>24398.779983180004</v>
      </c>
      <c r="I57" s="19"/>
      <c r="J57" s="19"/>
      <c r="K57" s="19"/>
      <c r="L57" s="19"/>
      <c r="M57" s="19"/>
      <c r="N57" s="19"/>
    </row>
    <row r="58" spans="1:14">
      <c r="C58" s="3">
        <v>6</v>
      </c>
      <c r="D58" s="19">
        <f t="shared" si="10"/>
        <v>19326.953657099883</v>
      </c>
      <c r="E58" s="19"/>
      <c r="F58" s="19">
        <f t="shared" si="11"/>
        <v>19906.762266812879</v>
      </c>
      <c r="G58" s="19"/>
      <c r="H58" s="19">
        <f t="shared" si="12"/>
        <v>25130.743382675406</v>
      </c>
      <c r="I58" s="19"/>
      <c r="J58" s="19"/>
      <c r="K58" s="19"/>
      <c r="L58" s="19"/>
      <c r="M58" s="19"/>
      <c r="N58" s="19"/>
    </row>
    <row r="59" spans="1:14">
      <c r="C59" s="3">
        <v>7</v>
      </c>
      <c r="D59" s="19">
        <f t="shared" si="10"/>
        <v>19906.762266812879</v>
      </c>
      <c r="E59" s="19"/>
      <c r="F59" s="19">
        <f t="shared" si="11"/>
        <v>20503.965134817267</v>
      </c>
      <c r="G59" s="19"/>
      <c r="H59" s="19">
        <f t="shared" si="12"/>
        <v>25884.665684155669</v>
      </c>
      <c r="I59" s="19"/>
      <c r="J59" s="19"/>
      <c r="K59" s="19"/>
      <c r="L59" s="19"/>
      <c r="M59" s="19"/>
      <c r="N59" s="19"/>
    </row>
    <row r="60" spans="1:14">
      <c r="C60" s="3">
        <v>8</v>
      </c>
      <c r="D60" s="19">
        <f t="shared" si="10"/>
        <v>20503.965134817267</v>
      </c>
      <c r="E60" s="19"/>
      <c r="F60" s="19">
        <f t="shared" si="11"/>
        <v>21119.084088861786</v>
      </c>
      <c r="G60" s="19"/>
      <c r="H60" s="19">
        <f t="shared" si="12"/>
        <v>26661.20565468034</v>
      </c>
      <c r="I60" s="19"/>
      <c r="J60" s="19"/>
      <c r="K60" s="19"/>
      <c r="L60" s="19"/>
      <c r="M60" s="19"/>
      <c r="N60" s="19"/>
    </row>
    <row r="61" spans="1:14">
      <c r="C61" s="3">
        <v>9</v>
      </c>
      <c r="D61" s="19">
        <f t="shared" si="10"/>
        <v>21119.084088861786</v>
      </c>
      <c r="E61" s="19"/>
      <c r="F61" s="19">
        <f t="shared" si="11"/>
        <v>21752.65661152764</v>
      </c>
      <c r="G61" s="19"/>
      <c r="H61" s="19">
        <f t="shared" si="12"/>
        <v>27461.04182432075</v>
      </c>
      <c r="I61" s="19"/>
      <c r="J61" s="19"/>
      <c r="K61" s="19"/>
      <c r="L61" s="19"/>
      <c r="M61" s="19"/>
      <c r="N61" s="19"/>
    </row>
    <row r="62" spans="1:14">
      <c r="C62" s="3">
        <v>10</v>
      </c>
      <c r="D62" s="19">
        <f t="shared" si="10"/>
        <v>21752.65661152764</v>
      </c>
      <c r="E62" s="19"/>
      <c r="F62" s="19">
        <f t="shared" si="11"/>
        <v>22405.236309873471</v>
      </c>
      <c r="G62" s="19"/>
      <c r="H62" s="19">
        <f t="shared" si="12"/>
        <v>28284.873079050372</v>
      </c>
      <c r="I62" s="19"/>
      <c r="J62" s="19"/>
      <c r="K62" s="19"/>
      <c r="L62" s="19"/>
      <c r="M62" s="19"/>
      <c r="N62" s="19"/>
    </row>
    <row r="63" spans="1:14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73" s="2" customFormat="1"/>
    <row r="108" s="2" customFormat="1"/>
    <row r="190" s="2" customFormat="1"/>
    <row r="193" s="2" customFormat="1"/>
  </sheetData>
  <phoneticPr fontId="22" type="noConversion"/>
  <pageMargins left="0.75" right="0.75" top="1.36" bottom="0.48" header="0.35" footer="0.2"/>
  <pageSetup orientation="portrait" r:id="rId1"/>
  <headerFooter alignWithMargins="0">
    <oddHeader>&amp;C&amp;"Arial,Bold"&amp;18International School of LouisianaFacility Salary Schedule '12 - 2013
&amp;A&amp;RPrinted &amp;D&amp;T</oddHeader>
    <oddFooter>&amp;L&amp;6&amp;Z&amp;F&amp;RPage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194"/>
  <sheetViews>
    <sheetView topLeftCell="A4" zoomScaleNormal="100" workbookViewId="0">
      <pane xSplit="2" ySplit="7" topLeftCell="C164" activePane="bottomRight" state="frozen"/>
      <selection activeCell="A4" sqref="A4"/>
      <selection pane="topRight" activeCell="C4" sqref="C4"/>
      <selection pane="bottomLeft" activeCell="A11" sqref="A11"/>
      <selection pane="bottomRight" activeCell="C184" sqref="C184"/>
    </sheetView>
  </sheetViews>
  <sheetFormatPr defaultColWidth="11.42578125" defaultRowHeight="11.25"/>
  <cols>
    <col min="1" max="1" width="16" style="10" customWidth="1"/>
    <col min="2" max="2" width="21.140625" style="10" customWidth="1"/>
    <col min="3" max="6" width="11.42578125" style="1"/>
    <col min="7" max="7" width="11.28515625" style="1" bestFit="1" customWidth="1"/>
    <col min="8" max="18" width="11.42578125" style="1"/>
    <col min="19" max="19" width="3.42578125" style="1" customWidth="1"/>
    <col min="20" max="20" width="11.42578125" style="56"/>
    <col min="21" max="16384" width="11.42578125" style="1"/>
  </cols>
  <sheetData>
    <row r="5" spans="1:20">
      <c r="B5" s="11"/>
    </row>
    <row r="7" spans="1:20" s="8" customFormat="1">
      <c r="A7" s="12"/>
      <c r="B7" s="12" t="s">
        <v>371</v>
      </c>
      <c r="C7" s="62">
        <v>2</v>
      </c>
      <c r="D7" s="62">
        <v>1</v>
      </c>
      <c r="E7" s="62">
        <v>1</v>
      </c>
      <c r="F7" s="62">
        <v>1</v>
      </c>
      <c r="G7" s="62">
        <v>1</v>
      </c>
      <c r="H7" s="62">
        <v>2</v>
      </c>
      <c r="I7" s="65">
        <v>2</v>
      </c>
      <c r="J7" s="65">
        <v>1</v>
      </c>
      <c r="K7" s="65">
        <v>1</v>
      </c>
      <c r="L7" s="65">
        <v>1</v>
      </c>
      <c r="M7" s="65">
        <v>1</v>
      </c>
      <c r="N7" s="53">
        <v>0.1</v>
      </c>
      <c r="O7" s="62">
        <v>1</v>
      </c>
      <c r="P7" s="62">
        <v>0.1</v>
      </c>
      <c r="Q7" s="62">
        <v>2</v>
      </c>
      <c r="R7" s="62">
        <f ca="1">SUM(IT!C7)</f>
        <v>0.1</v>
      </c>
      <c r="T7" s="64">
        <f>SUM(C7:R7)</f>
        <v>17.3</v>
      </c>
    </row>
    <row r="9" spans="1:20">
      <c r="C9" s="1" t="s">
        <v>187</v>
      </c>
      <c r="D9" s="1" t="s">
        <v>188</v>
      </c>
      <c r="E9" s="1" t="s">
        <v>188</v>
      </c>
      <c r="F9" s="1" t="s">
        <v>188</v>
      </c>
      <c r="G9" s="1" t="s">
        <v>189</v>
      </c>
      <c r="H9" s="1" t="s">
        <v>184</v>
      </c>
      <c r="I9" s="1" t="s">
        <v>469</v>
      </c>
      <c r="J9" s="1" t="s">
        <v>470</v>
      </c>
      <c r="K9" s="1" t="s">
        <v>472</v>
      </c>
      <c r="L9" s="1" t="s">
        <v>835</v>
      </c>
      <c r="M9" s="1" t="s">
        <v>835</v>
      </c>
      <c r="N9" s="1" t="s">
        <v>494</v>
      </c>
      <c r="O9" s="1" t="s">
        <v>191</v>
      </c>
      <c r="P9" s="1" t="s">
        <v>836</v>
      </c>
      <c r="Q9" s="1" t="s">
        <v>186</v>
      </c>
      <c r="R9" s="1" t="s">
        <v>190</v>
      </c>
    </row>
    <row r="10" spans="1:20" s="7" customFormat="1">
      <c r="A10" s="13"/>
      <c r="B10" s="13" t="s">
        <v>174</v>
      </c>
      <c r="C10" s="7">
        <v>2321</v>
      </c>
      <c r="D10" s="7">
        <v>2322</v>
      </c>
      <c r="E10" s="7">
        <v>2322</v>
      </c>
      <c r="F10" s="7">
        <v>2322</v>
      </c>
      <c r="G10" s="7">
        <v>2620</v>
      </c>
      <c r="H10" s="7">
        <v>2125</v>
      </c>
      <c r="I10" s="7" t="s">
        <v>471</v>
      </c>
      <c r="J10" s="7">
        <v>2500</v>
      </c>
      <c r="K10" s="7">
        <v>2500</v>
      </c>
      <c r="L10" s="7">
        <v>2500</v>
      </c>
      <c r="M10" s="7">
        <v>2500</v>
      </c>
      <c r="O10" s="7">
        <v>3100</v>
      </c>
      <c r="P10" s="7">
        <v>2830</v>
      </c>
      <c r="Q10" s="7">
        <v>2830</v>
      </c>
      <c r="R10" s="7">
        <v>2840</v>
      </c>
      <c r="T10" s="58"/>
    </row>
    <row r="11" spans="1:20">
      <c r="A11" s="10" t="s">
        <v>271</v>
      </c>
    </row>
    <row r="12" spans="1:20">
      <c r="A12" s="10" t="s">
        <v>272</v>
      </c>
    </row>
    <row r="13" spans="1:20">
      <c r="A13" s="10" t="s">
        <v>171</v>
      </c>
      <c r="B13" s="10" t="s">
        <v>273</v>
      </c>
      <c r="C13" s="39"/>
      <c r="D13" s="39">
        <f ca="1">SUM(DID!C13)</f>
        <v>40000</v>
      </c>
      <c r="E13" s="39">
        <f ca="1">SUM(DID!D13)</f>
        <v>0</v>
      </c>
      <c r="F13" s="39">
        <f ca="1">SUM(DID!E13)</f>
        <v>0</v>
      </c>
      <c r="G13" s="39">
        <f ca="1">SUM(FC!C13)</f>
        <v>0</v>
      </c>
      <c r="H13" s="39">
        <f ca="1">SUM(FN!C13)</f>
        <v>0</v>
      </c>
      <c r="I13" s="39">
        <f ca="1">SUM(FN!D13)</f>
        <v>0</v>
      </c>
      <c r="J13" s="39">
        <f ca="1">SUM(FN!E13)</f>
        <v>0</v>
      </c>
      <c r="K13" s="61">
        <f ca="1">SUM(FN!F13)</f>
        <v>0</v>
      </c>
      <c r="L13" s="61">
        <f ca="1">SUM(FN!G13)</f>
        <v>0</v>
      </c>
      <c r="M13" s="61">
        <f ca="1">SUM(FN!H13)</f>
        <v>0</v>
      </c>
      <c r="N13" s="39">
        <f ca="1">SUM('AC-SVC'!H13)</f>
        <v>0</v>
      </c>
      <c r="O13" s="39">
        <f ca="1">SUM(FS!C13)</f>
        <v>0</v>
      </c>
      <c r="P13" s="39">
        <f ca="1">SUM('AC-SVC'!C13)</f>
        <v>0</v>
      </c>
      <c r="Q13" s="39">
        <f ca="1">SUM(HR!C13)</f>
        <v>0</v>
      </c>
      <c r="R13" s="39">
        <f ca="1">SUM(IT!C13)</f>
        <v>0</v>
      </c>
      <c r="S13" s="39"/>
      <c r="T13" s="67">
        <f>SUM(C13:R13)</f>
        <v>40000</v>
      </c>
    </row>
    <row r="14" spans="1:20">
      <c r="A14" s="10" t="s">
        <v>172</v>
      </c>
      <c r="B14" s="10" t="s">
        <v>274</v>
      </c>
      <c r="C14" s="39"/>
      <c r="D14" s="61">
        <f ca="1">SUM(DID!C14)</f>
        <v>0</v>
      </c>
      <c r="E14" s="61">
        <f ca="1">SUM(DID!D14)</f>
        <v>65000</v>
      </c>
      <c r="F14" s="61">
        <f ca="1">SUM(DID!E14)</f>
        <v>0</v>
      </c>
      <c r="G14" s="61">
        <f ca="1">SUM(FC!C14)</f>
        <v>0</v>
      </c>
      <c r="H14" s="61">
        <f ca="1">SUM(FN!C14)</f>
        <v>0</v>
      </c>
      <c r="I14" s="61">
        <f ca="1">SUM(FN!D14)</f>
        <v>0</v>
      </c>
      <c r="J14" s="61">
        <f ca="1">SUM(FN!E14)</f>
        <v>0</v>
      </c>
      <c r="K14" s="61">
        <f ca="1">SUM(FN!F14)</f>
        <v>0</v>
      </c>
      <c r="L14" s="61">
        <f ca="1">SUM(FN!G14)</f>
        <v>0</v>
      </c>
      <c r="M14" s="61">
        <f ca="1">SUM(FN!H14)</f>
        <v>0</v>
      </c>
      <c r="N14" s="61">
        <f ca="1">SUM('AC-SVC'!H14)</f>
        <v>0</v>
      </c>
      <c r="O14" s="61">
        <f ca="1">SUM(FS!C14)</f>
        <v>0</v>
      </c>
      <c r="P14" s="61">
        <f ca="1">SUM('AC-SVC'!C14)</f>
        <v>0</v>
      </c>
      <c r="Q14" s="61">
        <f ca="1">SUM(HR!C14)</f>
        <v>0</v>
      </c>
      <c r="R14" s="61">
        <f ca="1">SUM(IT!C14)</f>
        <v>0</v>
      </c>
      <c r="S14" s="39"/>
      <c r="T14" s="67">
        <f t="shared" ref="T14:T37" si="0">SUM(C14:R14)</f>
        <v>65000</v>
      </c>
    </row>
    <row r="15" spans="1:20">
      <c r="A15" s="10" t="s">
        <v>173</v>
      </c>
      <c r="B15" s="10" t="s">
        <v>275</v>
      </c>
      <c r="C15" s="39"/>
      <c r="D15" s="61">
        <f ca="1">SUM(DID!C15)</f>
        <v>0</v>
      </c>
      <c r="E15" s="61">
        <f ca="1">SUM(DID!D15)</f>
        <v>5000</v>
      </c>
      <c r="F15" s="61">
        <f ca="1">SUM(DID!E15)</f>
        <v>0</v>
      </c>
      <c r="G15" s="61">
        <f ca="1">SUM(FC!C15)</f>
        <v>0</v>
      </c>
      <c r="H15" s="61">
        <f ca="1">SUM(FN!C15)</f>
        <v>0</v>
      </c>
      <c r="I15" s="61">
        <f ca="1">SUM(FN!D15)</f>
        <v>0</v>
      </c>
      <c r="J15" s="61">
        <f ca="1">SUM(FN!E15)</f>
        <v>0</v>
      </c>
      <c r="K15" s="61">
        <f ca="1">SUM(FN!F15)</f>
        <v>0</v>
      </c>
      <c r="L15" s="61">
        <f ca="1">SUM(FN!G15)</f>
        <v>0</v>
      </c>
      <c r="M15" s="61">
        <f ca="1">SUM(FN!H15)</f>
        <v>0</v>
      </c>
      <c r="N15" s="61">
        <f ca="1">SUM('AC-SVC'!H15)</f>
        <v>0</v>
      </c>
      <c r="O15" s="61">
        <f ca="1">SUM(FS!C15)</f>
        <v>0</v>
      </c>
      <c r="P15" s="61">
        <f ca="1">SUM('AC-SVC'!C15)</f>
        <v>0</v>
      </c>
      <c r="Q15" s="61">
        <f ca="1">SUM(HR!C15)</f>
        <v>0</v>
      </c>
      <c r="R15" s="61">
        <f ca="1">SUM(IT!C15)</f>
        <v>0</v>
      </c>
      <c r="S15" s="39"/>
      <c r="T15" s="67">
        <f t="shared" si="0"/>
        <v>5000</v>
      </c>
    </row>
    <row r="16" spans="1:20">
      <c r="A16" s="10" t="s">
        <v>194</v>
      </c>
      <c r="B16" s="10" t="s">
        <v>276</v>
      </c>
      <c r="C16" s="39"/>
      <c r="D16" s="61">
        <f ca="1">SUM(DID!C16)</f>
        <v>0</v>
      </c>
      <c r="E16" s="61">
        <f ca="1">SUM(DID!D16)</f>
        <v>0</v>
      </c>
      <c r="F16" s="61">
        <f ca="1">SUM(DID!E16)</f>
        <v>0</v>
      </c>
      <c r="G16" s="61">
        <f ca="1">SUM(FC!C16)</f>
        <v>0</v>
      </c>
      <c r="H16" s="61">
        <f ca="1">SUM(FN!C16)</f>
        <v>0</v>
      </c>
      <c r="I16" s="61">
        <f ca="1">SUM(FN!D16)</f>
        <v>0</v>
      </c>
      <c r="J16" s="61">
        <f ca="1">SUM(FN!E16)</f>
        <v>0</v>
      </c>
      <c r="K16" s="61">
        <f ca="1">SUM(FN!F16)</f>
        <v>0</v>
      </c>
      <c r="L16" s="61">
        <f ca="1">SUM(FN!G16)</f>
        <v>0</v>
      </c>
      <c r="M16" s="61">
        <f ca="1">SUM(FN!H16)</f>
        <v>0</v>
      </c>
      <c r="N16" s="61">
        <f ca="1">SUM('AC-SVC'!H16)</f>
        <v>0</v>
      </c>
      <c r="O16" s="61">
        <f ca="1">SUM(FS!C16)</f>
        <v>0</v>
      </c>
      <c r="P16" s="61">
        <f ca="1">SUM('AC-SVC'!C16)</f>
        <v>0</v>
      </c>
      <c r="Q16" s="61">
        <f ca="1">SUM(HR!C16)</f>
        <v>0</v>
      </c>
      <c r="R16" s="61">
        <f ca="1">SUM(IT!C16)</f>
        <v>0</v>
      </c>
      <c r="S16" s="39"/>
      <c r="T16" s="67">
        <f t="shared" si="0"/>
        <v>0</v>
      </c>
    </row>
    <row r="17" spans="1:20">
      <c r="A17" s="10" t="s">
        <v>195</v>
      </c>
      <c r="B17" s="10" t="s">
        <v>277</v>
      </c>
      <c r="C17" s="39"/>
      <c r="D17" s="61">
        <f ca="1">SUM(DID!C17)</f>
        <v>0</v>
      </c>
      <c r="E17" s="61">
        <f ca="1">SUM(DID!D17)</f>
        <v>0</v>
      </c>
      <c r="F17" s="61">
        <f ca="1">SUM(DID!E17)</f>
        <v>0</v>
      </c>
      <c r="G17" s="61">
        <f ca="1">SUM(FC!C17)</f>
        <v>0</v>
      </c>
      <c r="H17" s="61">
        <f ca="1">SUM(FN!C17)</f>
        <v>0</v>
      </c>
      <c r="I17" s="61">
        <f ca="1">SUM(FN!D17)</f>
        <v>0</v>
      </c>
      <c r="J17" s="61">
        <f ca="1">SUM(FN!E17)</f>
        <v>0</v>
      </c>
      <c r="K17" s="61">
        <f ca="1">SUM(FN!F17)</f>
        <v>0</v>
      </c>
      <c r="L17" s="61">
        <f ca="1">SUM(FN!G17)</f>
        <v>0</v>
      </c>
      <c r="M17" s="61">
        <f ca="1">SUM(FN!H17)</f>
        <v>0</v>
      </c>
      <c r="N17" s="61">
        <f ca="1">SUM('AC-SVC'!H17)</f>
        <v>0</v>
      </c>
      <c r="O17" s="61">
        <f ca="1">SUM(FS!C17)</f>
        <v>0</v>
      </c>
      <c r="P17" s="61">
        <f ca="1">SUM('AC-SVC'!C17)</f>
        <v>0</v>
      </c>
      <c r="Q17" s="61">
        <f ca="1">SUM(HR!C17)</f>
        <v>0</v>
      </c>
      <c r="R17" s="61">
        <f ca="1">SUM(IT!C17)</f>
        <v>0</v>
      </c>
      <c r="S17" s="39"/>
      <c r="T17" s="67">
        <f t="shared" si="0"/>
        <v>0</v>
      </c>
    </row>
    <row r="18" spans="1:20">
      <c r="A18" s="10" t="s">
        <v>196</v>
      </c>
      <c r="B18" s="10" t="s">
        <v>278</v>
      </c>
      <c r="C18" s="39"/>
      <c r="D18" s="61">
        <f ca="1">SUM(DID!C18)</f>
        <v>0</v>
      </c>
      <c r="E18" s="61">
        <f ca="1">SUM(DID!D18)</f>
        <v>0</v>
      </c>
      <c r="F18" s="61">
        <f ca="1">SUM(DID!E18)</f>
        <v>0</v>
      </c>
      <c r="G18" s="61">
        <f ca="1">SUM(FC!C18)</f>
        <v>0</v>
      </c>
      <c r="H18" s="61">
        <f ca="1">SUM(FN!C18)</f>
        <v>0</v>
      </c>
      <c r="I18" s="61">
        <f ca="1">SUM(FN!D18)</f>
        <v>0</v>
      </c>
      <c r="J18" s="61">
        <f ca="1">SUM(FN!E18)</f>
        <v>0</v>
      </c>
      <c r="K18" s="61">
        <f ca="1">SUM(FN!F18)</f>
        <v>0</v>
      </c>
      <c r="L18" s="61">
        <f ca="1">SUM(FN!G18)</f>
        <v>0</v>
      </c>
      <c r="M18" s="61">
        <f ca="1">SUM(FN!H18)</f>
        <v>0</v>
      </c>
      <c r="N18" s="61">
        <f ca="1">SUM('AC-SVC'!H18)</f>
        <v>0</v>
      </c>
      <c r="O18" s="61">
        <f ca="1">SUM(FS!C18)</f>
        <v>0</v>
      </c>
      <c r="P18" s="61">
        <f ca="1">SUM('AC-SVC'!C18)</f>
        <v>0</v>
      </c>
      <c r="Q18" s="61">
        <f ca="1">SUM(HR!C18)</f>
        <v>0</v>
      </c>
      <c r="R18" s="61">
        <f ca="1">SUM(IT!C18)</f>
        <v>0</v>
      </c>
      <c r="S18" s="39"/>
      <c r="T18" s="67">
        <f t="shared" si="0"/>
        <v>0</v>
      </c>
    </row>
    <row r="19" spans="1:20">
      <c r="A19" s="10" t="s">
        <v>197</v>
      </c>
      <c r="B19" s="10" t="s">
        <v>279</v>
      </c>
      <c r="C19" s="39"/>
      <c r="D19" s="61">
        <f ca="1">SUM(DID!C19)</f>
        <v>0</v>
      </c>
      <c r="E19" s="61">
        <f ca="1">SUM(DID!D19)</f>
        <v>0</v>
      </c>
      <c r="F19" s="61">
        <f ca="1">SUM(DID!E19)</f>
        <v>0</v>
      </c>
      <c r="G19" s="61">
        <f ca="1">SUM(FC!C19)</f>
        <v>0</v>
      </c>
      <c r="H19" s="61">
        <f ca="1">SUM(FN!C19)</f>
        <v>0</v>
      </c>
      <c r="I19" s="61">
        <f ca="1">SUM(FN!D19)</f>
        <v>0</v>
      </c>
      <c r="J19" s="61">
        <f ca="1">SUM(FN!E19)</f>
        <v>0</v>
      </c>
      <c r="K19" s="61">
        <f ca="1">SUM(FN!F19)</f>
        <v>0</v>
      </c>
      <c r="L19" s="61">
        <f ca="1">SUM(FN!G19)</f>
        <v>0</v>
      </c>
      <c r="M19" s="61">
        <f ca="1">SUM(FN!H19)</f>
        <v>0</v>
      </c>
      <c r="N19" s="61">
        <f ca="1">SUM('AC-SVC'!H19)</f>
        <v>0</v>
      </c>
      <c r="O19" s="61">
        <f ca="1">SUM(FS!C19)</f>
        <v>0</v>
      </c>
      <c r="P19" s="61">
        <f ca="1">SUM('AC-SVC'!C19)</f>
        <v>0</v>
      </c>
      <c r="Q19" s="61">
        <f ca="1">SUM(HR!C19)</f>
        <v>0</v>
      </c>
      <c r="R19" s="61">
        <f ca="1">SUM(IT!C19)</f>
        <v>0</v>
      </c>
      <c r="S19" s="39"/>
      <c r="T19" s="67">
        <f t="shared" si="0"/>
        <v>0</v>
      </c>
    </row>
    <row r="20" spans="1:20">
      <c r="A20" s="10" t="s">
        <v>198</v>
      </c>
      <c r="B20" s="10" t="s">
        <v>280</v>
      </c>
      <c r="C20" s="39"/>
      <c r="D20" s="61">
        <f ca="1">SUM(DID!C20)</f>
        <v>0</v>
      </c>
      <c r="E20" s="61">
        <f ca="1">SUM(DID!D20)</f>
        <v>0</v>
      </c>
      <c r="F20" s="61">
        <f ca="1">SUM(DID!E20)</f>
        <v>0</v>
      </c>
      <c r="G20" s="61">
        <f ca="1">SUM(FC!C20)</f>
        <v>0</v>
      </c>
      <c r="H20" s="61">
        <f ca="1">SUM(FN!C20)</f>
        <v>0</v>
      </c>
      <c r="I20" s="61">
        <f ca="1">SUM(FN!D20)</f>
        <v>0</v>
      </c>
      <c r="J20" s="61">
        <f ca="1">SUM(FN!E20)</f>
        <v>0</v>
      </c>
      <c r="K20" s="61">
        <f ca="1">SUM(FN!F20)</f>
        <v>0</v>
      </c>
      <c r="L20" s="61">
        <f ca="1">SUM(FN!G20)</f>
        <v>0</v>
      </c>
      <c r="M20" s="61">
        <f ca="1">SUM(FN!H20)</f>
        <v>0</v>
      </c>
      <c r="N20" s="61">
        <f ca="1">SUM('AC-SVC'!H20)</f>
        <v>0</v>
      </c>
      <c r="O20" s="61">
        <f ca="1">SUM(FS!C20)</f>
        <v>0</v>
      </c>
      <c r="P20" s="61">
        <f ca="1">SUM('AC-SVC'!C20)</f>
        <v>0</v>
      </c>
      <c r="Q20" s="61">
        <f ca="1">SUM(HR!C20)</f>
        <v>0</v>
      </c>
      <c r="R20" s="61">
        <f ca="1">SUM(IT!C20)</f>
        <v>0</v>
      </c>
      <c r="S20" s="39"/>
      <c r="T20" s="67">
        <f t="shared" si="0"/>
        <v>0</v>
      </c>
    </row>
    <row r="21" spans="1:20">
      <c r="A21" s="10" t="s">
        <v>199</v>
      </c>
      <c r="B21" s="10" t="s">
        <v>281</v>
      </c>
      <c r="C21" s="39"/>
      <c r="D21" s="61">
        <f ca="1">SUM(DID!C21)</f>
        <v>0</v>
      </c>
      <c r="E21" s="61">
        <f ca="1">SUM(DID!D21)</f>
        <v>0</v>
      </c>
      <c r="F21" s="61">
        <f ca="1">SUM(DID!E21)</f>
        <v>0</v>
      </c>
      <c r="G21" s="61">
        <f ca="1">SUM(FC!C21)</f>
        <v>0</v>
      </c>
      <c r="H21" s="61">
        <f ca="1">SUM(FN!C21)</f>
        <v>0</v>
      </c>
      <c r="I21" s="61">
        <f ca="1">SUM(FN!D21)</f>
        <v>0</v>
      </c>
      <c r="J21" s="61">
        <f ca="1">SUM(FN!E21)</f>
        <v>0</v>
      </c>
      <c r="K21" s="61">
        <f ca="1">SUM(FN!F21)</f>
        <v>0</v>
      </c>
      <c r="L21" s="61">
        <f ca="1">SUM(FN!G21)</f>
        <v>0</v>
      </c>
      <c r="M21" s="61">
        <f ca="1">SUM(FN!H21)</f>
        <v>0</v>
      </c>
      <c r="N21" s="61">
        <f ca="1">SUM('AC-SVC'!H21)</f>
        <v>0</v>
      </c>
      <c r="O21" s="61">
        <f ca="1">SUM(FS!C21)</f>
        <v>0</v>
      </c>
      <c r="P21" s="61">
        <f ca="1">SUM('AC-SVC'!C21)</f>
        <v>0</v>
      </c>
      <c r="Q21" s="61">
        <f ca="1">SUM(HR!C21)</f>
        <v>0</v>
      </c>
      <c r="R21" s="61">
        <f ca="1">SUM(IT!C21)</f>
        <v>0</v>
      </c>
      <c r="S21" s="39"/>
      <c r="T21" s="67">
        <f t="shared" si="0"/>
        <v>0</v>
      </c>
    </row>
    <row r="22" spans="1:20">
      <c r="A22" s="10" t="s">
        <v>200</v>
      </c>
      <c r="B22" s="10" t="s">
        <v>282</v>
      </c>
      <c r="C22" s="39"/>
      <c r="D22" s="61">
        <f ca="1">SUM(DID!C22)</f>
        <v>0</v>
      </c>
      <c r="E22" s="61">
        <f ca="1">SUM(DID!D22)</f>
        <v>0</v>
      </c>
      <c r="F22" s="61">
        <f ca="1">SUM(DID!E22)</f>
        <v>0</v>
      </c>
      <c r="G22" s="61">
        <f ca="1">SUM(FC!C22)</f>
        <v>0</v>
      </c>
      <c r="H22" s="61">
        <f ca="1">SUM(FN!C22)</f>
        <v>0</v>
      </c>
      <c r="I22" s="61">
        <f ca="1">SUM(FN!D22)</f>
        <v>0</v>
      </c>
      <c r="J22" s="61">
        <f ca="1">SUM(FN!E22)</f>
        <v>0</v>
      </c>
      <c r="K22" s="61">
        <f ca="1">SUM(FN!F22)</f>
        <v>0</v>
      </c>
      <c r="L22" s="61">
        <f ca="1">SUM(FN!G22)</f>
        <v>0</v>
      </c>
      <c r="M22" s="61">
        <f ca="1">SUM(FN!H22)</f>
        <v>0</v>
      </c>
      <c r="N22" s="61">
        <f ca="1">SUM('AC-SVC'!H22)</f>
        <v>0</v>
      </c>
      <c r="O22" s="61">
        <f ca="1">SUM(FS!C22)</f>
        <v>0</v>
      </c>
      <c r="P22" s="61">
        <f ca="1">SUM('AC-SVC'!C22)</f>
        <v>0</v>
      </c>
      <c r="Q22" s="61">
        <f ca="1">SUM(HR!C22)</f>
        <v>0</v>
      </c>
      <c r="R22" s="61">
        <f ca="1">SUM(IT!C22)</f>
        <v>0</v>
      </c>
      <c r="S22" s="39"/>
      <c r="T22" s="67">
        <f t="shared" si="0"/>
        <v>0</v>
      </c>
    </row>
    <row r="23" spans="1:20">
      <c r="A23" s="10" t="s">
        <v>201</v>
      </c>
      <c r="B23" s="10" t="s">
        <v>283</v>
      </c>
      <c r="C23" s="39"/>
      <c r="D23" s="61">
        <f ca="1">SUM(DID!C23)</f>
        <v>0</v>
      </c>
      <c r="E23" s="61">
        <f ca="1">SUM(DID!D23)</f>
        <v>0</v>
      </c>
      <c r="F23" s="61">
        <f ca="1">SUM(DID!E23)</f>
        <v>0</v>
      </c>
      <c r="G23" s="61">
        <f ca="1">SUM(FC!C23)</f>
        <v>0</v>
      </c>
      <c r="H23" s="61">
        <f ca="1">SUM(FN!C23)</f>
        <v>0</v>
      </c>
      <c r="I23" s="61">
        <f ca="1">SUM(FN!D23)</f>
        <v>0</v>
      </c>
      <c r="J23" s="61">
        <f ca="1">SUM(FN!E23)</f>
        <v>0</v>
      </c>
      <c r="K23" s="61">
        <f ca="1">SUM(FN!F23)</f>
        <v>0</v>
      </c>
      <c r="L23" s="61">
        <f ca="1">SUM(FN!G23)</f>
        <v>0</v>
      </c>
      <c r="M23" s="61">
        <f ca="1">SUM(FN!H23)</f>
        <v>0</v>
      </c>
      <c r="N23" s="61">
        <f ca="1">SUM('AC-SVC'!H23)</f>
        <v>0</v>
      </c>
      <c r="O23" s="61">
        <f ca="1">SUM(FS!C23)</f>
        <v>0</v>
      </c>
      <c r="P23" s="61">
        <f ca="1">SUM('AC-SVC'!C23)</f>
        <v>0</v>
      </c>
      <c r="Q23" s="61">
        <f ca="1">SUM(HR!C23)</f>
        <v>0</v>
      </c>
      <c r="R23" s="61">
        <f ca="1">SUM(IT!C23)</f>
        <v>0</v>
      </c>
      <c r="S23" s="39"/>
      <c r="T23" s="67">
        <f t="shared" si="0"/>
        <v>0</v>
      </c>
    </row>
    <row r="24" spans="1:20">
      <c r="A24" s="10" t="s">
        <v>202</v>
      </c>
      <c r="B24" s="10" t="s">
        <v>284</v>
      </c>
      <c r="C24" s="39"/>
      <c r="D24" s="61">
        <f ca="1">SUM(DID!C24)</f>
        <v>0</v>
      </c>
      <c r="E24" s="61">
        <f ca="1">SUM(DID!D24)</f>
        <v>0</v>
      </c>
      <c r="F24" s="61">
        <f ca="1">SUM(DID!E24)</f>
        <v>0</v>
      </c>
      <c r="G24" s="61">
        <f ca="1">SUM(FC!C24)</f>
        <v>0</v>
      </c>
      <c r="H24" s="61">
        <f ca="1">SUM(FN!C24)</f>
        <v>0</v>
      </c>
      <c r="I24" s="61">
        <f ca="1">SUM(FN!D24)</f>
        <v>0</v>
      </c>
      <c r="J24" s="61">
        <f ca="1">SUM(FN!E24)</f>
        <v>0</v>
      </c>
      <c r="K24" s="61">
        <f ca="1">SUM(FN!F24)</f>
        <v>0</v>
      </c>
      <c r="L24" s="61">
        <f ca="1">SUM(FN!G24)</f>
        <v>0</v>
      </c>
      <c r="M24" s="61">
        <f ca="1">SUM(FN!H24)</f>
        <v>0</v>
      </c>
      <c r="N24" s="61">
        <f ca="1">SUM('AC-SVC'!H24)</f>
        <v>0</v>
      </c>
      <c r="O24" s="61">
        <f ca="1">SUM(FS!C24)</f>
        <v>0</v>
      </c>
      <c r="P24" s="61">
        <f ca="1">SUM('AC-SVC'!C24)</f>
        <v>0</v>
      </c>
      <c r="Q24" s="61">
        <f ca="1">SUM(HR!C24)</f>
        <v>0</v>
      </c>
      <c r="R24" s="61">
        <f ca="1">SUM(IT!C24)</f>
        <v>0</v>
      </c>
      <c r="S24" s="39"/>
      <c r="T24" s="67">
        <f t="shared" si="0"/>
        <v>0</v>
      </c>
    </row>
    <row r="25" spans="1:20">
      <c r="A25" s="10" t="s">
        <v>203</v>
      </c>
      <c r="B25" s="10" t="s">
        <v>285</v>
      </c>
      <c r="C25" s="39"/>
      <c r="D25" s="61">
        <f ca="1">SUM(DID!C25)</f>
        <v>0</v>
      </c>
      <c r="E25" s="61">
        <f ca="1">SUM(DID!D25)</f>
        <v>0</v>
      </c>
      <c r="F25" s="61">
        <f ca="1">SUM(DID!E25)</f>
        <v>0</v>
      </c>
      <c r="G25" s="61">
        <f ca="1">SUM(FC!C25)</f>
        <v>0</v>
      </c>
      <c r="H25" s="61">
        <f ca="1">SUM(FN!C25)</f>
        <v>0</v>
      </c>
      <c r="I25" s="61">
        <f ca="1">SUM(FN!D25)</f>
        <v>0</v>
      </c>
      <c r="J25" s="61">
        <f ca="1">SUM(FN!E25)</f>
        <v>0</v>
      </c>
      <c r="K25" s="61">
        <f ca="1">SUM(FN!F25)</f>
        <v>0</v>
      </c>
      <c r="L25" s="61">
        <f ca="1">SUM(FN!G25)</f>
        <v>0</v>
      </c>
      <c r="M25" s="61">
        <f ca="1">SUM(FN!H25)</f>
        <v>0</v>
      </c>
      <c r="N25" s="61">
        <f ca="1">SUM('AC-SVC'!H25)</f>
        <v>0</v>
      </c>
      <c r="O25" s="61">
        <f ca="1">SUM(FS!C25)</f>
        <v>0</v>
      </c>
      <c r="P25" s="61">
        <f ca="1">SUM('AC-SVC'!C25)</f>
        <v>0</v>
      </c>
      <c r="Q25" s="61">
        <f ca="1">SUM(HR!C25)</f>
        <v>0</v>
      </c>
      <c r="R25" s="61">
        <f ca="1">SUM(IT!C25)</f>
        <v>0</v>
      </c>
      <c r="S25" s="39"/>
      <c r="T25" s="67">
        <f t="shared" si="0"/>
        <v>0</v>
      </c>
    </row>
    <row r="26" spans="1:20">
      <c r="A26" s="10" t="s">
        <v>204</v>
      </c>
      <c r="B26" s="10" t="s">
        <v>286</v>
      </c>
      <c r="C26" s="39"/>
      <c r="D26" s="61">
        <f ca="1">SUM(DID!C26)</f>
        <v>0</v>
      </c>
      <c r="E26" s="61">
        <f ca="1">SUM(DID!D26)</f>
        <v>0</v>
      </c>
      <c r="F26" s="61">
        <f ca="1">SUM(DID!E26)</f>
        <v>0</v>
      </c>
      <c r="G26" s="61">
        <f ca="1">SUM(FC!C26)</f>
        <v>0</v>
      </c>
      <c r="H26" s="61">
        <f ca="1">SUM(FN!C26)</f>
        <v>0</v>
      </c>
      <c r="I26" s="61">
        <f ca="1">SUM(FN!D26)</f>
        <v>0</v>
      </c>
      <c r="J26" s="61">
        <f ca="1">SUM(FN!E26)</f>
        <v>0</v>
      </c>
      <c r="K26" s="61">
        <f ca="1">SUM(FN!F26)</f>
        <v>0</v>
      </c>
      <c r="L26" s="61">
        <f ca="1">SUM(FN!G26)</f>
        <v>0</v>
      </c>
      <c r="M26" s="61">
        <f ca="1">SUM(FN!H26)</f>
        <v>0</v>
      </c>
      <c r="N26" s="61">
        <f ca="1">SUM('AC-SVC'!H26)</f>
        <v>0</v>
      </c>
      <c r="O26" s="61">
        <f ca="1">SUM(FS!C26)</f>
        <v>0</v>
      </c>
      <c r="P26" s="61">
        <f ca="1">SUM('AC-SVC'!C26)</f>
        <v>0</v>
      </c>
      <c r="Q26" s="61">
        <f ca="1">SUM(HR!C26)</f>
        <v>0</v>
      </c>
      <c r="R26" s="61">
        <f ca="1">SUM(IT!C26)</f>
        <v>0</v>
      </c>
      <c r="S26" s="39"/>
      <c r="T26" s="67">
        <f t="shared" si="0"/>
        <v>0</v>
      </c>
    </row>
    <row r="27" spans="1:20">
      <c r="A27" s="10" t="s">
        <v>205</v>
      </c>
      <c r="B27" s="10" t="s">
        <v>287</v>
      </c>
      <c r="C27" s="39"/>
      <c r="D27" s="61">
        <f ca="1">SUM(DID!C27)</f>
        <v>0</v>
      </c>
      <c r="E27" s="61">
        <f ca="1">SUM(DID!D27)</f>
        <v>0</v>
      </c>
      <c r="F27" s="61">
        <f ca="1">SUM(DID!E27)</f>
        <v>0</v>
      </c>
      <c r="G27" s="61">
        <f ca="1">SUM(FC!C27)</f>
        <v>0</v>
      </c>
      <c r="H27" s="61">
        <f ca="1">SUM(FN!C27)</f>
        <v>0</v>
      </c>
      <c r="I27" s="61">
        <f ca="1">SUM(FN!D27)</f>
        <v>0</v>
      </c>
      <c r="J27" s="61">
        <f ca="1">SUM(FN!E27)</f>
        <v>0</v>
      </c>
      <c r="K27" s="61">
        <f ca="1">SUM(FN!F27)</f>
        <v>0</v>
      </c>
      <c r="L27" s="61">
        <f ca="1">SUM(FN!G27)</f>
        <v>0</v>
      </c>
      <c r="M27" s="61">
        <f ca="1">SUM(FN!H27)</f>
        <v>0</v>
      </c>
      <c r="N27" s="61">
        <f ca="1">SUM('AC-SVC'!H27)</f>
        <v>0</v>
      </c>
      <c r="O27" s="61">
        <f ca="1">SUM(FS!C27)</f>
        <v>0</v>
      </c>
      <c r="P27" s="61">
        <f ca="1">SUM('AC-SVC'!C27)</f>
        <v>0</v>
      </c>
      <c r="Q27" s="61">
        <f ca="1">SUM(HR!C27)</f>
        <v>0</v>
      </c>
      <c r="R27" s="61">
        <f ca="1">SUM(IT!C27)</f>
        <v>0</v>
      </c>
      <c r="S27" s="39"/>
      <c r="T27" s="67">
        <f t="shared" si="0"/>
        <v>0</v>
      </c>
    </row>
    <row r="28" spans="1:20">
      <c r="A28" s="10" t="s">
        <v>206</v>
      </c>
      <c r="B28" s="10" t="s">
        <v>288</v>
      </c>
      <c r="C28" s="39"/>
      <c r="D28" s="61">
        <f ca="1">SUM(DID!C28)</f>
        <v>0</v>
      </c>
      <c r="E28" s="61">
        <f ca="1">SUM(DID!D28)</f>
        <v>0</v>
      </c>
      <c r="F28" s="61">
        <f ca="1">SUM(DID!E28)</f>
        <v>0</v>
      </c>
      <c r="G28" s="61">
        <f ca="1">SUM(FC!C28)</f>
        <v>0</v>
      </c>
      <c r="H28" s="61">
        <f ca="1">SUM(FN!C28)</f>
        <v>0</v>
      </c>
      <c r="I28" s="61">
        <f ca="1">SUM(FN!D28)</f>
        <v>0</v>
      </c>
      <c r="J28" s="61">
        <f ca="1">SUM(FN!E28)</f>
        <v>0</v>
      </c>
      <c r="K28" s="61">
        <f ca="1">SUM(FN!F28)</f>
        <v>0</v>
      </c>
      <c r="L28" s="61">
        <f ca="1">SUM(FN!G28)</f>
        <v>0</v>
      </c>
      <c r="M28" s="61">
        <f ca="1">SUM(FN!H28)</f>
        <v>0</v>
      </c>
      <c r="N28" s="61">
        <f ca="1">SUM('AC-SVC'!H28)</f>
        <v>0</v>
      </c>
      <c r="O28" s="61">
        <f ca="1">SUM(FS!C28)</f>
        <v>0</v>
      </c>
      <c r="P28" s="61">
        <f ca="1">SUM('AC-SVC'!C28)</f>
        <v>0</v>
      </c>
      <c r="Q28" s="61">
        <f ca="1">SUM(HR!C28)</f>
        <v>0</v>
      </c>
      <c r="R28" s="61">
        <f ca="1">SUM(IT!C28)</f>
        <v>0</v>
      </c>
      <c r="S28" s="39"/>
      <c r="T28" s="67">
        <f t="shared" si="0"/>
        <v>0</v>
      </c>
    </row>
    <row r="29" spans="1:20">
      <c r="A29" s="10" t="s">
        <v>207</v>
      </c>
      <c r="B29" s="10" t="s">
        <v>289</v>
      </c>
      <c r="C29" s="39"/>
      <c r="D29" s="61">
        <f ca="1">SUM(DID!C29)</f>
        <v>0</v>
      </c>
      <c r="E29" s="61">
        <f ca="1">SUM(DID!D29)</f>
        <v>0</v>
      </c>
      <c r="F29" s="61">
        <f ca="1">SUM(DID!E29)</f>
        <v>0</v>
      </c>
      <c r="G29" s="61">
        <f ca="1">SUM(FC!C29)</f>
        <v>0</v>
      </c>
      <c r="H29" s="61">
        <f ca="1">SUM(FN!C29)</f>
        <v>0</v>
      </c>
      <c r="I29" s="61">
        <f ca="1">SUM(FN!D29)</f>
        <v>0</v>
      </c>
      <c r="J29" s="61">
        <f ca="1">SUM(FN!E29)</f>
        <v>0</v>
      </c>
      <c r="K29" s="61">
        <f ca="1">SUM(FN!F29)</f>
        <v>0</v>
      </c>
      <c r="L29" s="61">
        <f ca="1">SUM(FN!G29)</f>
        <v>0</v>
      </c>
      <c r="M29" s="61">
        <f ca="1">SUM(FN!H29)</f>
        <v>0</v>
      </c>
      <c r="N29" s="61">
        <f ca="1">SUM('AC-SVC'!H29)</f>
        <v>0</v>
      </c>
      <c r="O29" s="61">
        <f ca="1">SUM(FS!C29)</f>
        <v>0</v>
      </c>
      <c r="P29" s="61">
        <f ca="1">SUM('AC-SVC'!C29)</f>
        <v>0</v>
      </c>
      <c r="Q29" s="61">
        <f ca="1">SUM(HR!C29)</f>
        <v>0</v>
      </c>
      <c r="R29" s="61">
        <f ca="1">SUM(IT!C29)</f>
        <v>0</v>
      </c>
      <c r="S29" s="39"/>
      <c r="T29" s="67">
        <f t="shared" si="0"/>
        <v>0</v>
      </c>
    </row>
    <row r="30" spans="1:20">
      <c r="A30" s="10" t="s">
        <v>209</v>
      </c>
      <c r="B30" s="10" t="s">
        <v>290</v>
      </c>
      <c r="C30" s="39"/>
      <c r="D30" s="61">
        <f ca="1">SUM(DID!C30)</f>
        <v>0</v>
      </c>
      <c r="E30" s="61">
        <f ca="1">SUM(DID!D30)</f>
        <v>0</v>
      </c>
      <c r="F30" s="61">
        <f ca="1">SUM(DID!E30)</f>
        <v>0</v>
      </c>
      <c r="G30" s="61">
        <f ca="1">SUM(FC!C30)</f>
        <v>0</v>
      </c>
      <c r="H30" s="61">
        <f ca="1">SUM(FN!C30)</f>
        <v>0</v>
      </c>
      <c r="I30" s="61">
        <f ca="1">SUM(FN!D30)</f>
        <v>0</v>
      </c>
      <c r="J30" s="61">
        <f ca="1">SUM(FN!E30)</f>
        <v>0</v>
      </c>
      <c r="K30" s="61">
        <f ca="1">SUM(FN!F30)</f>
        <v>0</v>
      </c>
      <c r="L30" s="61">
        <f ca="1">SUM(FN!G30)</f>
        <v>0</v>
      </c>
      <c r="M30" s="61">
        <f ca="1">SUM(FN!H30)</f>
        <v>0</v>
      </c>
      <c r="N30" s="61">
        <f ca="1">SUM('AC-SVC'!H30)</f>
        <v>0</v>
      </c>
      <c r="O30" s="61">
        <f ca="1">SUM(FS!C30)</f>
        <v>0</v>
      </c>
      <c r="P30" s="61">
        <f ca="1">SUM('AC-SVC'!C30)</f>
        <v>0</v>
      </c>
      <c r="Q30" s="61">
        <f ca="1">SUM(HR!C30)</f>
        <v>0</v>
      </c>
      <c r="R30" s="61">
        <f ca="1">SUM(IT!C30)</f>
        <v>0</v>
      </c>
      <c r="S30" s="39"/>
      <c r="T30" s="67">
        <f t="shared" si="0"/>
        <v>0</v>
      </c>
    </row>
    <row r="31" spans="1:20">
      <c r="A31" s="10" t="s">
        <v>208</v>
      </c>
      <c r="B31" s="10" t="s">
        <v>291</v>
      </c>
      <c r="C31" s="39"/>
      <c r="D31" s="61">
        <f ca="1">SUM(DID!C31)</f>
        <v>0</v>
      </c>
      <c r="E31" s="61">
        <f ca="1">SUM(DID!D31)</f>
        <v>0</v>
      </c>
      <c r="F31" s="61">
        <f ca="1">SUM(DID!E31)</f>
        <v>0</v>
      </c>
      <c r="G31" s="61">
        <f ca="1">SUM(FC!C31)</f>
        <v>0</v>
      </c>
      <c r="H31" s="61">
        <f ca="1">SUM(FN!C31)</f>
        <v>0</v>
      </c>
      <c r="I31" s="61">
        <f ca="1">SUM(FN!D31)</f>
        <v>0</v>
      </c>
      <c r="J31" s="61">
        <f ca="1">SUM(FN!E31)</f>
        <v>5400</v>
      </c>
      <c r="K31" s="61">
        <f ca="1">SUM(FN!F31)</f>
        <v>0</v>
      </c>
      <c r="L31" s="61">
        <f ca="1">SUM(FN!G31)</f>
        <v>0</v>
      </c>
      <c r="M31" s="61">
        <f ca="1">SUM(FN!H31)</f>
        <v>0</v>
      </c>
      <c r="N31" s="61">
        <f ca="1">SUM('AC-SVC'!H31)</f>
        <v>0</v>
      </c>
      <c r="O31" s="61">
        <f ca="1">SUM(FS!C31)</f>
        <v>0</v>
      </c>
      <c r="P31" s="61">
        <f ca="1">SUM('AC-SVC'!C31)</f>
        <v>0</v>
      </c>
      <c r="Q31" s="61">
        <f ca="1">SUM(HR!C31)</f>
        <v>0</v>
      </c>
      <c r="R31" s="61">
        <f ca="1">SUM(IT!C31)</f>
        <v>0</v>
      </c>
      <c r="S31" s="39"/>
      <c r="T31" s="67">
        <f t="shared" si="0"/>
        <v>5400</v>
      </c>
    </row>
    <row r="32" spans="1:20">
      <c r="A32" s="10" t="s">
        <v>210</v>
      </c>
      <c r="B32" s="10" t="s">
        <v>211</v>
      </c>
      <c r="C32" s="39">
        <f ca="1">SUM(CAMP!BN175+OLIVIER!AN175+JEFF!AZ175)</f>
        <v>1674527.9227272728</v>
      </c>
      <c r="D32" s="61">
        <f ca="1">SUM(DID!C32)</f>
        <v>0</v>
      </c>
      <c r="E32" s="61">
        <f ca="1">SUM(DID!D32)</f>
        <v>0</v>
      </c>
      <c r="F32" s="61">
        <f ca="1">SUM(DID!E32)</f>
        <v>0</v>
      </c>
      <c r="G32" s="61">
        <f ca="1">SUM(FC!C32)</f>
        <v>0</v>
      </c>
      <c r="H32" s="61">
        <f ca="1">SUM(FN!C32)</f>
        <v>0</v>
      </c>
      <c r="I32" s="61">
        <f ca="1">SUM(FN!D32)</f>
        <v>0</v>
      </c>
      <c r="J32" s="61">
        <f ca="1">SUM(FN!E32)</f>
        <v>0</v>
      </c>
      <c r="K32" s="61">
        <f ca="1">SUM(FN!F32)</f>
        <v>0</v>
      </c>
      <c r="L32" s="61">
        <f ca="1">SUM(FN!G32)</f>
        <v>0</v>
      </c>
      <c r="M32" s="61">
        <f ca="1">SUM(FN!H32)</f>
        <v>0</v>
      </c>
      <c r="N32" s="61">
        <f ca="1">SUM('AC-SVC'!H32)</f>
        <v>0</v>
      </c>
      <c r="O32" s="61">
        <f ca="1">SUM(FS!C32)</f>
        <v>0</v>
      </c>
      <c r="P32" s="61">
        <f ca="1">SUM('AC-SVC'!C32)</f>
        <v>0</v>
      </c>
      <c r="Q32" s="61">
        <f ca="1">SUM(HR!C32)</f>
        <v>0</v>
      </c>
      <c r="R32" s="61">
        <f ca="1">SUM(IT!C32)</f>
        <v>0</v>
      </c>
      <c r="S32" s="39"/>
      <c r="T32" s="67">
        <f t="shared" si="0"/>
        <v>1674527.9227272728</v>
      </c>
    </row>
    <row r="33" spans="1:20">
      <c r="A33" s="10" t="s">
        <v>214</v>
      </c>
      <c r="B33" s="10" t="s">
        <v>215</v>
      </c>
      <c r="C33" s="39"/>
      <c r="D33" s="61">
        <f ca="1">SUM(DID!C33)</f>
        <v>0</v>
      </c>
      <c r="E33" s="61">
        <f ca="1">SUM(DID!D33)</f>
        <v>50000</v>
      </c>
      <c r="F33" s="61">
        <f ca="1">SUM(DID!E33)</f>
        <v>0</v>
      </c>
      <c r="G33" s="61">
        <f ca="1">SUM(FC!C33)</f>
        <v>0</v>
      </c>
      <c r="H33" s="61">
        <f ca="1">SUM(FN!C33)</f>
        <v>0</v>
      </c>
      <c r="I33" s="61">
        <f ca="1">SUM(FN!D33)</f>
        <v>0</v>
      </c>
      <c r="J33" s="61">
        <f ca="1">SUM(FN!E33)</f>
        <v>0</v>
      </c>
      <c r="K33" s="61">
        <f ca="1">SUM(FN!F33)</f>
        <v>0</v>
      </c>
      <c r="L33" s="61">
        <f ca="1">SUM(FN!G33)</f>
        <v>0</v>
      </c>
      <c r="M33" s="61">
        <f ca="1">SUM(FN!H33)</f>
        <v>0</v>
      </c>
      <c r="N33" s="61">
        <f ca="1">SUM('AC-SVC'!H33)</f>
        <v>0</v>
      </c>
      <c r="O33" s="61">
        <f ca="1">SUM(FS!C33)</f>
        <v>0</v>
      </c>
      <c r="P33" s="61">
        <f ca="1">SUM('AC-SVC'!C33)</f>
        <v>0</v>
      </c>
      <c r="Q33" s="61">
        <f ca="1">SUM(HR!C33)</f>
        <v>0</v>
      </c>
      <c r="R33" s="61">
        <f ca="1">SUM(IT!C33)</f>
        <v>0</v>
      </c>
      <c r="S33" s="39"/>
      <c r="T33" s="67">
        <f t="shared" si="0"/>
        <v>50000</v>
      </c>
    </row>
    <row r="34" spans="1:20">
      <c r="A34" s="10" t="s">
        <v>213</v>
      </c>
      <c r="B34" s="10" t="s">
        <v>292</v>
      </c>
      <c r="C34" s="39"/>
      <c r="D34" s="61">
        <f ca="1">SUM(DID!C34)</f>
        <v>0</v>
      </c>
      <c r="E34" s="61">
        <f ca="1">SUM(DID!D34)</f>
        <v>0</v>
      </c>
      <c r="F34" s="61">
        <f ca="1">SUM(DID!E34)</f>
        <v>0</v>
      </c>
      <c r="G34" s="61">
        <f ca="1">SUM(FC!C34)</f>
        <v>0</v>
      </c>
      <c r="H34" s="61">
        <f ca="1">SUM(FN!C34)</f>
        <v>0</v>
      </c>
      <c r="I34" s="61">
        <f ca="1">SUM(FN!D34)</f>
        <v>0</v>
      </c>
      <c r="J34" s="61">
        <f ca="1">SUM(FN!E34)</f>
        <v>0</v>
      </c>
      <c r="K34" s="61">
        <f ca="1">SUM(FN!F34)</f>
        <v>0</v>
      </c>
      <c r="L34" s="61">
        <f ca="1">SUM(FN!G34)</f>
        <v>0</v>
      </c>
      <c r="M34" s="61">
        <f ca="1">SUM(FN!H34)</f>
        <v>0</v>
      </c>
      <c r="N34" s="61">
        <f ca="1">SUM('AC-SVC'!H34)</f>
        <v>0</v>
      </c>
      <c r="O34" s="61">
        <f ca="1">SUM(FS!C34)</f>
        <v>0</v>
      </c>
      <c r="P34" s="61">
        <f ca="1">SUM('AC-SVC'!C34)</f>
        <v>0</v>
      </c>
      <c r="Q34" s="61">
        <f ca="1">SUM(HR!C34)</f>
        <v>0</v>
      </c>
      <c r="R34" s="61">
        <f ca="1">SUM(IT!C34)</f>
        <v>0</v>
      </c>
      <c r="S34" s="39"/>
      <c r="T34" s="67">
        <f t="shared" si="0"/>
        <v>0</v>
      </c>
    </row>
    <row r="35" spans="1:20">
      <c r="A35" s="10" t="s">
        <v>212</v>
      </c>
      <c r="B35" s="10" t="s">
        <v>293</v>
      </c>
      <c r="C35" s="39"/>
      <c r="D35" s="61">
        <v>16000</v>
      </c>
      <c r="E35" s="61">
        <f ca="1">SUM(DID!D35)</f>
        <v>0</v>
      </c>
      <c r="F35" s="61">
        <f ca="1">SUM(DID!E35)</f>
        <v>0</v>
      </c>
      <c r="G35" s="61">
        <f ca="1">SUM(FC!C35)</f>
        <v>0</v>
      </c>
      <c r="H35" s="61">
        <f ca="1">SUM(FN!C35)</f>
        <v>0</v>
      </c>
      <c r="I35" s="61">
        <f ca="1">SUM(FN!D35)</f>
        <v>0</v>
      </c>
      <c r="J35" s="61">
        <f ca="1">SUM(FN!E35)</f>
        <v>0</v>
      </c>
      <c r="K35" s="61">
        <f ca="1">SUM(FN!F35)</f>
        <v>0</v>
      </c>
      <c r="L35" s="61">
        <f ca="1">SUM(FN!G35)</f>
        <v>0</v>
      </c>
      <c r="M35" s="61">
        <f ca="1">SUM(FN!H35)</f>
        <v>0</v>
      </c>
      <c r="N35" s="61">
        <f ca="1">SUM('AC-SVC'!H35)</f>
        <v>0</v>
      </c>
      <c r="O35" s="61">
        <f ca="1">SUM(FS!C35)</f>
        <v>0</v>
      </c>
      <c r="P35" s="61">
        <f ca="1">SUM('AC-SVC'!C35)</f>
        <v>0</v>
      </c>
      <c r="Q35" s="61">
        <f ca="1">SUM(HR!C35)</f>
        <v>0</v>
      </c>
      <c r="R35" s="61">
        <f ca="1">SUM(IT!C35)</f>
        <v>0</v>
      </c>
      <c r="S35" s="39"/>
      <c r="T35" s="67">
        <f t="shared" si="0"/>
        <v>16000</v>
      </c>
    </row>
    <row r="36" spans="1:20">
      <c r="A36" s="10" t="s">
        <v>216</v>
      </c>
      <c r="B36" s="10" t="s">
        <v>294</v>
      </c>
      <c r="C36" s="39"/>
      <c r="D36" s="61">
        <f ca="1">SUM(DID!C36)</f>
        <v>0</v>
      </c>
      <c r="E36" s="61">
        <f ca="1">SUM(DID!D36)</f>
        <v>0</v>
      </c>
      <c r="F36" s="61">
        <f ca="1">SUM(DID!E36)</f>
        <v>0</v>
      </c>
      <c r="G36" s="61">
        <f ca="1">SUM(FC!C36)</f>
        <v>0</v>
      </c>
      <c r="H36" s="61">
        <f ca="1">SUM(FN!C36)</f>
        <v>0</v>
      </c>
      <c r="I36" s="61">
        <f ca="1">SUM(FN!D36)</f>
        <v>0</v>
      </c>
      <c r="J36" s="61">
        <f ca="1">SUM(FN!E36)</f>
        <v>0</v>
      </c>
      <c r="K36" s="61">
        <f ca="1">SUM(FN!F36)</f>
        <v>0</v>
      </c>
      <c r="L36" s="61">
        <f ca="1">SUM(FN!G36)</f>
        <v>0</v>
      </c>
      <c r="M36" s="61">
        <f ca="1">SUM(FN!H36)</f>
        <v>0</v>
      </c>
      <c r="N36" s="61">
        <f ca="1">SUM('AC-SVC'!H36)</f>
        <v>0</v>
      </c>
      <c r="O36" s="61">
        <f ca="1">SUM(FS!C36)</f>
        <v>0</v>
      </c>
      <c r="P36" s="61">
        <f ca="1">SUM('AC-SVC'!C36)</f>
        <v>0</v>
      </c>
      <c r="Q36" s="61">
        <f ca="1">SUM(HR!C36)</f>
        <v>0</v>
      </c>
      <c r="R36" s="61">
        <f ca="1">SUM(IT!C36)</f>
        <v>0</v>
      </c>
      <c r="S36" s="39"/>
      <c r="T36" s="67">
        <f t="shared" si="0"/>
        <v>0</v>
      </c>
    </row>
    <row r="37" spans="1:20">
      <c r="A37" s="10" t="s">
        <v>217</v>
      </c>
      <c r="B37" s="10" t="s">
        <v>295</v>
      </c>
      <c r="C37" s="40"/>
      <c r="D37" s="40">
        <f ca="1">SUM(DID!C37)</f>
        <v>0</v>
      </c>
      <c r="E37" s="40">
        <f ca="1">SUM(DID!D37)</f>
        <v>0</v>
      </c>
      <c r="F37" s="40">
        <f ca="1">SUM(DID!E37)</f>
        <v>0</v>
      </c>
      <c r="G37" s="40">
        <f ca="1">SUM(FC!C37)</f>
        <v>0</v>
      </c>
      <c r="H37" s="40">
        <f ca="1">SUM(FN!C37)</f>
        <v>0</v>
      </c>
      <c r="I37" s="40">
        <f ca="1">SUM(FN!D37)</f>
        <v>0</v>
      </c>
      <c r="J37" s="40">
        <f ca="1">SUM(FN!E37)</f>
        <v>0</v>
      </c>
      <c r="K37" s="40">
        <f ca="1">SUM(FN!F37)</f>
        <v>0</v>
      </c>
      <c r="L37" s="40">
        <f ca="1">SUM(FN!G37)</f>
        <v>0</v>
      </c>
      <c r="M37" s="40">
        <f ca="1">SUM(FN!H37)</f>
        <v>0</v>
      </c>
      <c r="N37" s="40">
        <f ca="1">SUM('AC-SVC'!H37)</f>
        <v>0</v>
      </c>
      <c r="O37" s="40">
        <f ca="1">SUM(FS!C37)</f>
        <v>0</v>
      </c>
      <c r="P37" s="40">
        <f ca="1">SUM('AC-SVC'!C37)</f>
        <v>0</v>
      </c>
      <c r="Q37" s="40">
        <f ca="1">SUM(HR!C37)</f>
        <v>0</v>
      </c>
      <c r="R37" s="40">
        <f ca="1">SUM(IT!C37)</f>
        <v>0</v>
      </c>
      <c r="S37" s="39"/>
      <c r="T37" s="66">
        <f t="shared" si="0"/>
        <v>0</v>
      </c>
    </row>
    <row r="38" spans="1:20">
      <c r="B38" s="10" t="s">
        <v>296</v>
      </c>
      <c r="C38" s="39">
        <f>+SUM(C13:C37)</f>
        <v>1674527.9227272728</v>
      </c>
      <c r="D38" s="39">
        <f t="shared" ref="D38:R38" si="1">+SUM(D13:D37)</f>
        <v>56000</v>
      </c>
      <c r="E38" s="39">
        <f t="shared" si="1"/>
        <v>120000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5400</v>
      </c>
      <c r="K38" s="39">
        <f>+SUM(K13:K37)</f>
        <v>0</v>
      </c>
      <c r="L38" s="39">
        <f>+SUM(L13:L37)</f>
        <v>0</v>
      </c>
      <c r="M38" s="39">
        <f>+SUM(M13:M37)</f>
        <v>0</v>
      </c>
      <c r="N38" s="39">
        <f>+SUM(N13:N37)</f>
        <v>0</v>
      </c>
      <c r="O38" s="39">
        <f t="shared" si="1"/>
        <v>0</v>
      </c>
      <c r="P38" s="39">
        <f>+SUM(P13:P37)</f>
        <v>0</v>
      </c>
      <c r="Q38" s="39">
        <f t="shared" si="1"/>
        <v>0</v>
      </c>
      <c r="R38" s="39">
        <f t="shared" si="1"/>
        <v>0</v>
      </c>
      <c r="S38" s="39"/>
      <c r="T38" s="41">
        <f>SUM(T13:T37)</f>
        <v>1855927.9227272728</v>
      </c>
    </row>
    <row r="39" spans="1:20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7"/>
    </row>
    <row r="40" spans="1:20">
      <c r="A40" s="10" t="s">
        <v>297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7"/>
    </row>
    <row r="41" spans="1:20">
      <c r="A41" s="10" t="s">
        <v>218</v>
      </c>
      <c r="B41" s="10" t="s">
        <v>298</v>
      </c>
      <c r="C41" s="39"/>
      <c r="D41" s="61">
        <f ca="1">SUM(DID!C41)</f>
        <v>0</v>
      </c>
      <c r="E41" s="61">
        <f ca="1">SUM(DID!D41)</f>
        <v>0</v>
      </c>
      <c r="F41" s="61">
        <f ca="1">SUM(DID!E41)</f>
        <v>0</v>
      </c>
      <c r="G41" s="61">
        <f ca="1">SUM(FC!C41)</f>
        <v>0</v>
      </c>
      <c r="H41" s="61">
        <f ca="1">SUM(FN!C41)</f>
        <v>0</v>
      </c>
      <c r="I41" s="61">
        <f ca="1">SUM(FN!D41)</f>
        <v>0</v>
      </c>
      <c r="J41" s="61">
        <f ca="1">SUM(FN!E41)</f>
        <v>0</v>
      </c>
      <c r="K41" s="61">
        <f ca="1">SUM(FN!F41)</f>
        <v>0</v>
      </c>
      <c r="L41" s="61">
        <f ca="1">SUM(FN!G41)</f>
        <v>0</v>
      </c>
      <c r="M41" s="61">
        <f ca="1">SUM(FN!H41)</f>
        <v>0</v>
      </c>
      <c r="N41" s="61">
        <f ca="1">SUM('AC-SVC'!H41)</f>
        <v>0</v>
      </c>
      <c r="O41" s="61">
        <f ca="1">SUM(FS!C41)</f>
        <v>0</v>
      </c>
      <c r="P41" s="61">
        <f ca="1">SUM('AC-SVC'!C41)</f>
        <v>0</v>
      </c>
      <c r="Q41" s="61">
        <f ca="1">SUM(HR!C41)</f>
        <v>0</v>
      </c>
      <c r="R41" s="61">
        <f ca="1">SUM(IT!C41)</f>
        <v>0</v>
      </c>
      <c r="S41" s="39"/>
      <c r="T41" s="67">
        <f t="shared" ref="T41:T48" si="2">SUM(C41:R41)</f>
        <v>0</v>
      </c>
    </row>
    <row r="42" spans="1:20">
      <c r="A42" s="10" t="s">
        <v>219</v>
      </c>
      <c r="B42" s="10" t="s">
        <v>220</v>
      </c>
      <c r="C42" s="39"/>
      <c r="D42" s="61">
        <f ca="1">SUM(DID!C42)</f>
        <v>0</v>
      </c>
      <c r="E42" s="61">
        <f ca="1">SUM(DID!D42)</f>
        <v>0</v>
      </c>
      <c r="F42" s="61">
        <f ca="1">SUM(DID!E42)</f>
        <v>0</v>
      </c>
      <c r="G42" s="61">
        <f ca="1">SUM(FC!C42)</f>
        <v>0</v>
      </c>
      <c r="H42" s="61">
        <f ca="1">SUM(FN!C42)</f>
        <v>0</v>
      </c>
      <c r="I42" s="61">
        <f ca="1">SUM(FN!D42)</f>
        <v>0</v>
      </c>
      <c r="J42" s="61">
        <f ca="1">SUM(FN!E42)</f>
        <v>0</v>
      </c>
      <c r="K42" s="61">
        <f ca="1">SUM(FN!F42)</f>
        <v>0</v>
      </c>
      <c r="L42" s="61">
        <f ca="1">SUM(FN!G42)</f>
        <v>0</v>
      </c>
      <c r="M42" s="61">
        <f ca="1">SUM(FN!H42)</f>
        <v>0</v>
      </c>
      <c r="N42" s="61">
        <f ca="1">SUM('AC-SVC'!H42)</f>
        <v>0</v>
      </c>
      <c r="O42" s="61">
        <f ca="1">SUM(FS!C42)</f>
        <v>0</v>
      </c>
      <c r="P42" s="61">
        <f ca="1">SUM('AC-SVC'!C42)</f>
        <v>0</v>
      </c>
      <c r="Q42" s="61">
        <f ca="1">SUM(HR!C42)</f>
        <v>0</v>
      </c>
      <c r="R42" s="61">
        <f ca="1">SUM(IT!C42)</f>
        <v>0</v>
      </c>
      <c r="S42" s="39"/>
      <c r="T42" s="67">
        <f t="shared" si="2"/>
        <v>0</v>
      </c>
    </row>
    <row r="43" spans="1:20">
      <c r="A43" s="10" t="s">
        <v>221</v>
      </c>
      <c r="B43" s="10" t="s">
        <v>222</v>
      </c>
      <c r="C43" s="39"/>
      <c r="D43" s="61">
        <f ca="1">SUM(DID!C43)</f>
        <v>0</v>
      </c>
      <c r="E43" s="61">
        <f ca="1">SUM(DID!D43)</f>
        <v>0</v>
      </c>
      <c r="F43" s="61">
        <f ca="1">SUM(DID!E43)</f>
        <v>0</v>
      </c>
      <c r="G43" s="61">
        <f ca="1">SUM(FC!C43)</f>
        <v>0</v>
      </c>
      <c r="H43" s="61">
        <f ca="1">SUM(FN!C43)</f>
        <v>0</v>
      </c>
      <c r="I43" s="61">
        <f ca="1">SUM(FN!D43)</f>
        <v>0</v>
      </c>
      <c r="J43" s="61">
        <f ca="1">SUM(FN!E43)</f>
        <v>0</v>
      </c>
      <c r="K43" s="61">
        <f ca="1">SUM(FN!F43)</f>
        <v>0</v>
      </c>
      <c r="L43" s="61">
        <f ca="1">SUM(FN!G43)</f>
        <v>0</v>
      </c>
      <c r="M43" s="61">
        <f ca="1">SUM(FN!H43)</f>
        <v>0</v>
      </c>
      <c r="N43" s="61">
        <f ca="1">SUM('AC-SVC'!H43)</f>
        <v>0</v>
      </c>
      <c r="O43" s="61">
        <f ca="1">SUM(FS!C43)</f>
        <v>0</v>
      </c>
      <c r="P43" s="61">
        <f ca="1">SUM('AC-SVC'!C43)</f>
        <v>0</v>
      </c>
      <c r="Q43" s="61">
        <f ca="1">SUM(HR!C43)</f>
        <v>0</v>
      </c>
      <c r="R43" s="61">
        <f ca="1">SUM(IT!C43)</f>
        <v>0</v>
      </c>
      <c r="S43" s="39"/>
      <c r="T43" s="67">
        <f t="shared" si="2"/>
        <v>0</v>
      </c>
    </row>
    <row r="44" spans="1:20">
      <c r="A44" s="10" t="s">
        <v>223</v>
      </c>
      <c r="B44" s="10" t="s">
        <v>299</v>
      </c>
      <c r="C44" s="39"/>
      <c r="D44" s="61">
        <f ca="1">SUM(DID!C44)</f>
        <v>0</v>
      </c>
      <c r="E44" s="61">
        <f ca="1">SUM(DID!D44)</f>
        <v>0</v>
      </c>
      <c r="F44" s="61">
        <f ca="1">SUM(DID!E44)</f>
        <v>0</v>
      </c>
      <c r="G44" s="61">
        <f ca="1">SUM(FC!C44)</f>
        <v>0</v>
      </c>
      <c r="H44" s="61">
        <f ca="1">SUM(FN!C44)</f>
        <v>0</v>
      </c>
      <c r="I44" s="61">
        <f ca="1">SUM(FN!D44)</f>
        <v>0</v>
      </c>
      <c r="J44" s="61">
        <f ca="1">SUM(FN!E44)</f>
        <v>0</v>
      </c>
      <c r="K44" s="61">
        <f ca="1">SUM(FN!F44)</f>
        <v>0</v>
      </c>
      <c r="L44" s="61">
        <f ca="1">SUM(FN!G44)</f>
        <v>0</v>
      </c>
      <c r="M44" s="61">
        <f ca="1">SUM(FN!H44)</f>
        <v>0</v>
      </c>
      <c r="N44" s="61">
        <f ca="1">SUM('AC-SVC'!H44)</f>
        <v>0</v>
      </c>
      <c r="O44" s="61">
        <f ca="1">SUM(FS!C44)</f>
        <v>0</v>
      </c>
      <c r="P44" s="61">
        <f ca="1">SUM('AC-SVC'!C44)</f>
        <v>0</v>
      </c>
      <c r="Q44" s="61">
        <f ca="1">SUM(HR!C44)</f>
        <v>0</v>
      </c>
      <c r="R44" s="61">
        <f ca="1">SUM(IT!C44)</f>
        <v>0</v>
      </c>
      <c r="S44" s="39"/>
      <c r="T44" s="67">
        <f t="shared" si="2"/>
        <v>0</v>
      </c>
    </row>
    <row r="45" spans="1:20">
      <c r="A45" s="10" t="s">
        <v>224</v>
      </c>
      <c r="B45" s="10" t="s">
        <v>225</v>
      </c>
      <c r="C45" s="39"/>
      <c r="D45" s="61">
        <f ca="1">SUM(DID!C45)</f>
        <v>0</v>
      </c>
      <c r="E45" s="61">
        <f ca="1">SUM(DID!D45)</f>
        <v>0</v>
      </c>
      <c r="F45" s="61">
        <f ca="1">SUM(DID!E45)</f>
        <v>0</v>
      </c>
      <c r="G45" s="61">
        <f ca="1">SUM(FC!C45)</f>
        <v>0</v>
      </c>
      <c r="H45" s="61">
        <f ca="1">SUM(FN!C45)</f>
        <v>0</v>
      </c>
      <c r="I45" s="61">
        <f ca="1">SUM(FN!D45)</f>
        <v>0</v>
      </c>
      <c r="J45" s="61">
        <f ca="1">SUM(FN!E45)</f>
        <v>0</v>
      </c>
      <c r="K45" s="61">
        <f ca="1">SUM(FN!F45)</f>
        <v>0</v>
      </c>
      <c r="L45" s="61">
        <f ca="1">SUM(FN!G45)</f>
        <v>0</v>
      </c>
      <c r="M45" s="61">
        <f ca="1">SUM(FN!H45)</f>
        <v>0</v>
      </c>
      <c r="N45" s="61">
        <f ca="1">SUM('AC-SVC'!H45)</f>
        <v>0</v>
      </c>
      <c r="O45" s="61">
        <f ca="1">SUM(FS!C45)</f>
        <v>0</v>
      </c>
      <c r="P45" s="61">
        <f ca="1">SUM('AC-SVC'!C45)</f>
        <v>0</v>
      </c>
      <c r="Q45" s="61">
        <f ca="1">SUM(HR!C45)</f>
        <v>0</v>
      </c>
      <c r="R45" s="61">
        <f ca="1">SUM(IT!C45)</f>
        <v>0</v>
      </c>
      <c r="S45" s="39"/>
      <c r="T45" s="67">
        <f t="shared" si="2"/>
        <v>0</v>
      </c>
    </row>
    <row r="46" spans="1:20">
      <c r="A46" s="10" t="s">
        <v>226</v>
      </c>
      <c r="B46" s="10" t="s">
        <v>227</v>
      </c>
      <c r="C46" s="39"/>
      <c r="D46" s="61">
        <f ca="1">SUM(DID!C46)</f>
        <v>0</v>
      </c>
      <c r="E46" s="61">
        <f ca="1">SUM(DID!D46)</f>
        <v>0</v>
      </c>
      <c r="F46" s="61">
        <f ca="1">SUM(DID!E46)</f>
        <v>0</v>
      </c>
      <c r="G46" s="61">
        <f ca="1">SUM(FC!C46)</f>
        <v>0</v>
      </c>
      <c r="H46" s="61">
        <f ca="1">SUM(FN!C46)</f>
        <v>0</v>
      </c>
      <c r="I46" s="61">
        <f ca="1">SUM(FN!D46)</f>
        <v>0</v>
      </c>
      <c r="J46" s="61">
        <f ca="1">SUM(FN!E46)</f>
        <v>0</v>
      </c>
      <c r="K46" s="61">
        <f ca="1">SUM(FN!F46)</f>
        <v>0</v>
      </c>
      <c r="L46" s="61">
        <f ca="1">SUM(FN!G46)</f>
        <v>0</v>
      </c>
      <c r="M46" s="61">
        <f ca="1">SUM(FN!H46)</f>
        <v>0</v>
      </c>
      <c r="N46" s="61">
        <f ca="1">SUM('AC-SVC'!H46)</f>
        <v>0</v>
      </c>
      <c r="O46" s="61">
        <f ca="1">SUM(FS!C46)</f>
        <v>0</v>
      </c>
      <c r="P46" s="61">
        <f ca="1">SUM('AC-SVC'!C46)</f>
        <v>0</v>
      </c>
      <c r="Q46" s="61">
        <f ca="1">SUM(HR!C46)</f>
        <v>0</v>
      </c>
      <c r="R46" s="61">
        <f ca="1">SUM(IT!C46)</f>
        <v>0</v>
      </c>
      <c r="S46" s="39"/>
      <c r="T46" s="67">
        <f t="shared" si="2"/>
        <v>0</v>
      </c>
    </row>
    <row r="47" spans="1:20">
      <c r="A47" s="10" t="s">
        <v>228</v>
      </c>
      <c r="B47" s="10" t="s">
        <v>300</v>
      </c>
      <c r="C47" s="39"/>
      <c r="D47" s="61">
        <f ca="1">SUM(DID!C47)</f>
        <v>0</v>
      </c>
      <c r="E47" s="61">
        <f ca="1">SUM(DID!D47)</f>
        <v>0</v>
      </c>
      <c r="F47" s="61">
        <f ca="1">SUM(DID!E47)</f>
        <v>0</v>
      </c>
      <c r="G47" s="61">
        <f ca="1">SUM(FC!C47)</f>
        <v>0</v>
      </c>
      <c r="H47" s="61">
        <f ca="1">SUM(FN!C47)</f>
        <v>0</v>
      </c>
      <c r="I47" s="61">
        <f ca="1">SUM(FN!D47)</f>
        <v>0</v>
      </c>
      <c r="J47" s="61">
        <f ca="1">SUM(FN!E47)</f>
        <v>0</v>
      </c>
      <c r="K47" s="61">
        <f ca="1">SUM(FN!F47)</f>
        <v>0</v>
      </c>
      <c r="L47" s="61">
        <f ca="1">SUM(FN!G47)</f>
        <v>0</v>
      </c>
      <c r="M47" s="61">
        <f ca="1">SUM(FN!H47)</f>
        <v>0</v>
      </c>
      <c r="N47" s="61">
        <f ca="1">SUM('AC-SVC'!H47)</f>
        <v>0</v>
      </c>
      <c r="O47" s="61">
        <f ca="1">SUM(FS!C47)</f>
        <v>0</v>
      </c>
      <c r="P47" s="61">
        <f ca="1">SUM('AC-SVC'!C47)</f>
        <v>0</v>
      </c>
      <c r="Q47" s="61">
        <f ca="1">SUM(HR!C47)</f>
        <v>0</v>
      </c>
      <c r="R47" s="61">
        <f ca="1">SUM(IT!C47)</f>
        <v>0</v>
      </c>
      <c r="S47" s="39"/>
      <c r="T47" s="67">
        <f t="shared" si="2"/>
        <v>0</v>
      </c>
    </row>
    <row r="48" spans="1:20">
      <c r="A48" s="10" t="s">
        <v>229</v>
      </c>
      <c r="B48" s="10" t="s">
        <v>301</v>
      </c>
      <c r="C48" s="40"/>
      <c r="D48" s="40">
        <f ca="1">SUM(DID!C48)</f>
        <v>0</v>
      </c>
      <c r="E48" s="40">
        <f ca="1">SUM(DID!D48)</f>
        <v>0</v>
      </c>
      <c r="F48" s="40">
        <f ca="1">SUM(DID!E48)</f>
        <v>0</v>
      </c>
      <c r="G48" s="40">
        <f ca="1">SUM(FC!C48)</f>
        <v>0</v>
      </c>
      <c r="H48" s="40">
        <f ca="1">SUM(FN!C48)</f>
        <v>0</v>
      </c>
      <c r="I48" s="40">
        <f ca="1">SUM(FN!D48)</f>
        <v>0</v>
      </c>
      <c r="J48" s="40">
        <f ca="1">SUM(FN!E48)</f>
        <v>0</v>
      </c>
      <c r="K48" s="40">
        <f ca="1">SUM(FN!F48)</f>
        <v>0</v>
      </c>
      <c r="L48" s="40">
        <f ca="1">SUM(FN!G48)</f>
        <v>0</v>
      </c>
      <c r="M48" s="40">
        <f ca="1">SUM(FN!H48)</f>
        <v>0</v>
      </c>
      <c r="N48" s="40">
        <f ca="1">SUM('AC-SVC'!H48)</f>
        <v>0</v>
      </c>
      <c r="O48" s="40">
        <f ca="1">SUM(FS!C48)</f>
        <v>0</v>
      </c>
      <c r="P48" s="40">
        <f ca="1">SUM('AC-SVC'!C48)</f>
        <v>0</v>
      </c>
      <c r="Q48" s="40">
        <f ca="1">SUM(HR!C48)</f>
        <v>0</v>
      </c>
      <c r="R48" s="40">
        <f ca="1">SUM(IT!C48)</f>
        <v>0</v>
      </c>
      <c r="S48" s="39"/>
      <c r="T48" s="66">
        <f t="shared" si="2"/>
        <v>0</v>
      </c>
    </row>
    <row r="49" spans="1:20">
      <c r="B49" s="10" t="s">
        <v>302</v>
      </c>
      <c r="C49" s="39">
        <f>+SUM(C41:C48)</f>
        <v>0</v>
      </c>
      <c r="D49" s="39">
        <f t="shared" ref="D49:R49" si="3">+SUM(D41:D48)</f>
        <v>0</v>
      </c>
      <c r="E49" s="39">
        <f t="shared" si="3"/>
        <v>0</v>
      </c>
      <c r="F49" s="39">
        <f t="shared" si="3"/>
        <v>0</v>
      </c>
      <c r="G49" s="39">
        <f t="shared" si="3"/>
        <v>0</v>
      </c>
      <c r="H49" s="39">
        <f t="shared" si="3"/>
        <v>0</v>
      </c>
      <c r="I49" s="39">
        <f t="shared" si="3"/>
        <v>0</v>
      </c>
      <c r="J49" s="39">
        <f t="shared" si="3"/>
        <v>0</v>
      </c>
      <c r="K49" s="39">
        <f>+SUM(K41:K48)</f>
        <v>0</v>
      </c>
      <c r="L49" s="39">
        <f>+SUM(L41:L48)</f>
        <v>0</v>
      </c>
      <c r="M49" s="39">
        <f>+SUM(M41:M48)</f>
        <v>0</v>
      </c>
      <c r="N49" s="39">
        <f>+SUM(N41:N48)</f>
        <v>0</v>
      </c>
      <c r="O49" s="39">
        <f t="shared" si="3"/>
        <v>0</v>
      </c>
      <c r="P49" s="39">
        <f>+SUM(P41:P48)</f>
        <v>0</v>
      </c>
      <c r="Q49" s="39">
        <f t="shared" si="3"/>
        <v>0</v>
      </c>
      <c r="R49" s="39">
        <f t="shared" si="3"/>
        <v>0</v>
      </c>
      <c r="S49" s="39"/>
      <c r="T49" s="57">
        <f>SUM(T41:T48)</f>
        <v>0</v>
      </c>
    </row>
    <row r="50" spans="1:20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7"/>
    </row>
    <row r="51" spans="1:20">
      <c r="A51" s="10" t="s">
        <v>303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7"/>
    </row>
    <row r="52" spans="1:20">
      <c r="A52" s="10" t="s">
        <v>304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7"/>
    </row>
    <row r="53" spans="1:20">
      <c r="A53" s="10" t="s">
        <v>230</v>
      </c>
      <c r="B53" s="10" t="s">
        <v>407</v>
      </c>
      <c r="C53" s="39"/>
      <c r="D53" s="61">
        <f ca="1">SUM(DID!C53)</f>
        <v>0</v>
      </c>
      <c r="E53" s="61">
        <f ca="1">SUM(DID!D53)</f>
        <v>0</v>
      </c>
      <c r="F53" s="61">
        <f ca="1">SUM(DID!E53)</f>
        <v>0</v>
      </c>
      <c r="G53" s="61">
        <f ca="1">SUM(FC!C53)</f>
        <v>0</v>
      </c>
      <c r="H53" s="61">
        <f ca="1">SUM(FN!C53)</f>
        <v>0</v>
      </c>
      <c r="I53" s="61">
        <f ca="1">SUM(FN!D53)</f>
        <v>0</v>
      </c>
      <c r="J53" s="61">
        <f ca="1">SUM(FN!E53)</f>
        <v>0</v>
      </c>
      <c r="K53" s="61">
        <f ca="1">SUM(FN!F53)</f>
        <v>0</v>
      </c>
      <c r="L53" s="61">
        <f ca="1">SUM(FN!G53)</f>
        <v>0</v>
      </c>
      <c r="M53" s="61">
        <f ca="1">SUM(FN!H53)</f>
        <v>0</v>
      </c>
      <c r="N53" s="61">
        <f ca="1">SUM('AC-SVC'!H53)</f>
        <v>0</v>
      </c>
      <c r="O53" s="61">
        <f ca="1">SUM(FS!C53)</f>
        <v>0</v>
      </c>
      <c r="P53" s="61">
        <f ca="1">SUM('AC-SVC'!C53)</f>
        <v>0</v>
      </c>
      <c r="Q53" s="61">
        <f ca="1">SUM(HR!C53)</f>
        <v>0</v>
      </c>
      <c r="R53" s="61">
        <f ca="1">SUM(IT!C53)</f>
        <v>0</v>
      </c>
      <c r="S53" s="39"/>
      <c r="T53" s="67">
        <f t="shared" ref="T53:T65" si="4">SUM(C53:R53)</f>
        <v>0</v>
      </c>
    </row>
    <row r="54" spans="1:20">
      <c r="A54" s="10" t="s">
        <v>231</v>
      </c>
      <c r="B54" s="10" t="s">
        <v>408</v>
      </c>
      <c r="C54" s="39"/>
      <c r="D54" s="61">
        <f ca="1">SUM(DID!C54)</f>
        <v>0</v>
      </c>
      <c r="E54" s="61">
        <f ca="1">SUM(DID!D54)</f>
        <v>0</v>
      </c>
      <c r="F54" s="61">
        <f ca="1">SUM(DID!E54)</f>
        <v>0</v>
      </c>
      <c r="G54" s="61">
        <f ca="1">SUM(FC!C54)</f>
        <v>0</v>
      </c>
      <c r="H54" s="61">
        <f ca="1">SUM(FN!C54)</f>
        <v>0</v>
      </c>
      <c r="I54" s="61">
        <f ca="1">SUM(FN!D54)</f>
        <v>0</v>
      </c>
      <c r="J54" s="61">
        <f ca="1">SUM(FN!E54)</f>
        <v>0</v>
      </c>
      <c r="K54" s="61">
        <f ca="1">SUM(FN!F54)</f>
        <v>0</v>
      </c>
      <c r="L54" s="61">
        <f ca="1">SUM(FN!G54)</f>
        <v>0</v>
      </c>
      <c r="M54" s="61">
        <f ca="1">SUM(FN!H54)</f>
        <v>0</v>
      </c>
      <c r="N54" s="61">
        <f ca="1">SUM('AC-SVC'!H54)</f>
        <v>0</v>
      </c>
      <c r="O54" s="61">
        <f ca="1">SUM(FS!C54)</f>
        <v>0</v>
      </c>
      <c r="P54" s="61">
        <f ca="1">SUM('AC-SVC'!C54)</f>
        <v>0</v>
      </c>
      <c r="Q54" s="61">
        <f ca="1">SUM(HR!C54)</f>
        <v>0</v>
      </c>
      <c r="R54" s="61">
        <f ca="1">SUM(IT!C54)</f>
        <v>0</v>
      </c>
      <c r="S54" s="39"/>
      <c r="T54" s="67">
        <f t="shared" si="4"/>
        <v>0</v>
      </c>
    </row>
    <row r="55" spans="1:20">
      <c r="A55" s="10" t="s">
        <v>232</v>
      </c>
      <c r="B55" s="10" t="s">
        <v>409</v>
      </c>
      <c r="C55" s="39"/>
      <c r="D55" s="61">
        <f ca="1">SUM(DID!C55)</f>
        <v>0</v>
      </c>
      <c r="E55" s="61">
        <f ca="1">SUM(DID!D55)</f>
        <v>0</v>
      </c>
      <c r="F55" s="61">
        <f ca="1">SUM(DID!E55)</f>
        <v>0</v>
      </c>
      <c r="G55" s="61">
        <f ca="1">SUM(FC!C55)</f>
        <v>0</v>
      </c>
      <c r="H55" s="61">
        <f ca="1">SUM(FN!C55)</f>
        <v>0</v>
      </c>
      <c r="I55" s="61">
        <f ca="1">SUM(FN!D55)</f>
        <v>0</v>
      </c>
      <c r="J55" s="61">
        <f ca="1">SUM(FN!E55)</f>
        <v>0</v>
      </c>
      <c r="K55" s="61">
        <f ca="1">SUM(FN!F55)</f>
        <v>0</v>
      </c>
      <c r="L55" s="61">
        <f ca="1">SUM(FN!G55)</f>
        <v>0</v>
      </c>
      <c r="M55" s="61">
        <f ca="1">SUM(FN!H55)</f>
        <v>0</v>
      </c>
      <c r="N55" s="61">
        <f ca="1">SUM('AC-SVC'!H55)</f>
        <v>0</v>
      </c>
      <c r="O55" s="61">
        <f ca="1">SUM(FS!C55)</f>
        <v>0</v>
      </c>
      <c r="P55" s="61">
        <f ca="1">SUM('AC-SVC'!C55)</f>
        <v>0</v>
      </c>
      <c r="Q55" s="61">
        <f ca="1">SUM(HR!C55)</f>
        <v>0</v>
      </c>
      <c r="R55" s="61">
        <f ca="1">SUM(IT!C55)</f>
        <v>0</v>
      </c>
      <c r="S55" s="39"/>
      <c r="T55" s="67">
        <f t="shared" si="4"/>
        <v>0</v>
      </c>
    </row>
    <row r="56" spans="1:20">
      <c r="A56" s="10" t="s">
        <v>233</v>
      </c>
      <c r="B56" s="10" t="s">
        <v>305</v>
      </c>
      <c r="C56" s="39"/>
      <c r="D56" s="61">
        <f ca="1">SUM(DID!C56)</f>
        <v>0</v>
      </c>
      <c r="E56" s="61">
        <f ca="1">SUM(DID!D56)</f>
        <v>0</v>
      </c>
      <c r="F56" s="61">
        <f ca="1">SUM(DID!E56)</f>
        <v>0</v>
      </c>
      <c r="G56" s="61">
        <f ca="1">SUM(FC!C56)</f>
        <v>0</v>
      </c>
      <c r="H56" s="61">
        <f ca="1">SUM(FN!C56)</f>
        <v>0</v>
      </c>
      <c r="I56" s="61">
        <f ca="1">SUM(FN!D56)</f>
        <v>0</v>
      </c>
      <c r="J56" s="61">
        <f ca="1">SUM(FN!E56)</f>
        <v>0</v>
      </c>
      <c r="K56" s="61">
        <f ca="1">SUM(FN!F56)</f>
        <v>0</v>
      </c>
      <c r="L56" s="61">
        <f ca="1">SUM(FN!G56)</f>
        <v>0</v>
      </c>
      <c r="M56" s="61">
        <f ca="1">SUM(FN!H56)</f>
        <v>0</v>
      </c>
      <c r="N56" s="61">
        <f ca="1">SUM('AC-SVC'!H56)</f>
        <v>0</v>
      </c>
      <c r="O56" s="61">
        <f ca="1">SUM(FS!C56)</f>
        <v>0</v>
      </c>
      <c r="P56" s="61">
        <f ca="1">SUM('AC-SVC'!C56)</f>
        <v>0</v>
      </c>
      <c r="Q56" s="61">
        <f ca="1">SUM(HR!C56)</f>
        <v>0</v>
      </c>
      <c r="R56" s="61">
        <f ca="1">SUM(IT!C56)</f>
        <v>0</v>
      </c>
      <c r="S56" s="39"/>
      <c r="T56" s="67">
        <f t="shared" si="4"/>
        <v>0</v>
      </c>
    </row>
    <row r="57" spans="1:20">
      <c r="A57" s="10" t="s">
        <v>234</v>
      </c>
      <c r="B57" s="10" t="s">
        <v>306</v>
      </c>
      <c r="C57" s="39"/>
      <c r="D57" s="61">
        <f ca="1">SUM(DID!C57)</f>
        <v>0</v>
      </c>
      <c r="E57" s="61">
        <f ca="1">SUM(DID!D57)</f>
        <v>0</v>
      </c>
      <c r="F57" s="61">
        <f ca="1">SUM(DID!E57)</f>
        <v>0</v>
      </c>
      <c r="G57" s="61">
        <f ca="1">SUM(FC!C57)</f>
        <v>0</v>
      </c>
      <c r="H57" s="61">
        <f ca="1">SUM(FN!C57)</f>
        <v>0</v>
      </c>
      <c r="I57" s="61">
        <f ca="1">SUM(FN!D57)</f>
        <v>0</v>
      </c>
      <c r="J57" s="61">
        <f ca="1">SUM(FN!E57)</f>
        <v>0</v>
      </c>
      <c r="K57" s="61">
        <f ca="1">SUM(FN!F57)</f>
        <v>0</v>
      </c>
      <c r="L57" s="61">
        <f ca="1">SUM(FN!G57)</f>
        <v>0</v>
      </c>
      <c r="M57" s="61">
        <f ca="1">SUM(FN!H57)</f>
        <v>0</v>
      </c>
      <c r="N57" s="61">
        <f ca="1">SUM('AC-SVC'!H57)</f>
        <v>0</v>
      </c>
      <c r="O57" s="61">
        <f ca="1">SUM(FS!C57)</f>
        <v>0</v>
      </c>
      <c r="P57" s="61">
        <f ca="1">SUM('AC-SVC'!C57)</f>
        <v>0</v>
      </c>
      <c r="Q57" s="61">
        <f ca="1">SUM(HR!C57)</f>
        <v>0</v>
      </c>
      <c r="R57" s="61">
        <f ca="1">SUM(IT!C57)</f>
        <v>0</v>
      </c>
      <c r="S57" s="39"/>
      <c r="T57" s="67">
        <f t="shared" si="4"/>
        <v>0</v>
      </c>
    </row>
    <row r="58" spans="1:20">
      <c r="A58" s="10" t="s">
        <v>0</v>
      </c>
      <c r="B58" s="10" t="s">
        <v>307</v>
      </c>
      <c r="C58" s="39"/>
      <c r="D58" s="61">
        <f ca="1">SUM(DID!C58)</f>
        <v>0</v>
      </c>
      <c r="E58" s="61">
        <f ca="1">SUM(DID!D58)</f>
        <v>0</v>
      </c>
      <c r="F58" s="61">
        <f ca="1">SUM(DID!E58)</f>
        <v>0</v>
      </c>
      <c r="G58" s="61">
        <f ca="1">SUM(FC!C58)</f>
        <v>0</v>
      </c>
      <c r="H58" s="61">
        <f ca="1">SUM(FN!C58)</f>
        <v>0</v>
      </c>
      <c r="I58" s="61">
        <f ca="1">SUM(FN!D58)</f>
        <v>0</v>
      </c>
      <c r="J58" s="61">
        <f ca="1">SUM(FN!E58)</f>
        <v>0</v>
      </c>
      <c r="K58" s="61">
        <f ca="1">SUM(FN!F58)</f>
        <v>0</v>
      </c>
      <c r="L58" s="61">
        <f ca="1">SUM(FN!G58)</f>
        <v>0</v>
      </c>
      <c r="M58" s="61">
        <f ca="1">SUM(FN!H58)</f>
        <v>0</v>
      </c>
      <c r="N58" s="61">
        <f ca="1">SUM('AC-SVC'!H58)</f>
        <v>0</v>
      </c>
      <c r="O58" s="61">
        <f ca="1">SUM(FS!C58)</f>
        <v>0</v>
      </c>
      <c r="P58" s="61">
        <f ca="1">SUM('AC-SVC'!C58)</f>
        <v>0</v>
      </c>
      <c r="Q58" s="61">
        <f ca="1">SUM(HR!C58)</f>
        <v>0</v>
      </c>
      <c r="R58" s="61">
        <f ca="1">SUM(IT!C58)</f>
        <v>23523.054</v>
      </c>
      <c r="S58" s="39"/>
      <c r="T58" s="67">
        <f t="shared" si="4"/>
        <v>23523.054</v>
      </c>
    </row>
    <row r="59" spans="1:20">
      <c r="A59" s="10" t="s">
        <v>1</v>
      </c>
      <c r="B59" s="10" t="s">
        <v>308</v>
      </c>
      <c r="C59" s="39"/>
      <c r="D59" s="61">
        <f ca="1">SUM(DID!C59)</f>
        <v>0</v>
      </c>
      <c r="E59" s="61">
        <f ca="1">SUM(DID!D59)</f>
        <v>0</v>
      </c>
      <c r="F59" s="61">
        <f ca="1">SUM(DID!E59)</f>
        <v>0</v>
      </c>
      <c r="G59" s="61">
        <f ca="1">SUM(FC!C59)</f>
        <v>0</v>
      </c>
      <c r="H59" s="61">
        <f ca="1">SUM(FN!C59)</f>
        <v>0</v>
      </c>
      <c r="I59" s="61">
        <f ca="1">SUM(FN!D59)</f>
        <v>0</v>
      </c>
      <c r="J59" s="61">
        <f ca="1">SUM(FN!E59)</f>
        <v>0</v>
      </c>
      <c r="K59" s="61">
        <f ca="1">SUM(FN!F59)</f>
        <v>0</v>
      </c>
      <c r="L59" s="61">
        <f ca="1">SUM(FN!G59)</f>
        <v>0</v>
      </c>
      <c r="M59" s="61">
        <f ca="1">SUM(FN!H59)</f>
        <v>0</v>
      </c>
      <c r="N59" s="61">
        <f ca="1">SUM('AC-SVC'!H59)</f>
        <v>0</v>
      </c>
      <c r="O59" s="61">
        <f ca="1">SUM(FS!C59)</f>
        <v>0</v>
      </c>
      <c r="P59" s="61">
        <f ca="1">SUM('AC-SVC'!C59)</f>
        <v>0</v>
      </c>
      <c r="Q59" s="61">
        <f ca="1">SUM(HR!C59)</f>
        <v>0</v>
      </c>
      <c r="R59" s="61">
        <f ca="1">SUM(IT!C59)</f>
        <v>0</v>
      </c>
      <c r="S59" s="39"/>
      <c r="T59" s="67">
        <f t="shared" si="4"/>
        <v>0</v>
      </c>
    </row>
    <row r="60" spans="1:20">
      <c r="A60" s="10" t="s">
        <v>3</v>
      </c>
      <c r="B60" s="10" t="s">
        <v>2</v>
      </c>
      <c r="C60" s="39"/>
      <c r="D60" s="61">
        <f ca="1">SUM(DID!C60)</f>
        <v>0</v>
      </c>
      <c r="E60" s="61">
        <f ca="1">SUM(DID!D60)</f>
        <v>0</v>
      </c>
      <c r="F60" s="61">
        <f ca="1">SUM(DID!E60)</f>
        <v>0</v>
      </c>
      <c r="G60" s="61">
        <f ca="1">SUM(FC!C60)</f>
        <v>0</v>
      </c>
      <c r="H60" s="61">
        <f ca="1">SUM(FN!C60)</f>
        <v>0</v>
      </c>
      <c r="I60" s="61">
        <f ca="1">SUM(FN!D60)</f>
        <v>0</v>
      </c>
      <c r="J60" s="61">
        <f ca="1">SUM(FN!E60)</f>
        <v>0</v>
      </c>
      <c r="K60" s="61">
        <f ca="1">SUM(FN!F60)</f>
        <v>0</v>
      </c>
      <c r="L60" s="61">
        <f ca="1">SUM(FN!G60)</f>
        <v>0</v>
      </c>
      <c r="M60" s="61">
        <f ca="1">SUM(FN!H60)</f>
        <v>0</v>
      </c>
      <c r="N60" s="61">
        <f ca="1">SUM('AC-SVC'!H60)</f>
        <v>0</v>
      </c>
      <c r="O60" s="61">
        <f ca="1">SUM(FS!C60)</f>
        <v>0</v>
      </c>
      <c r="P60" s="61">
        <f ca="1">SUM('AC-SVC'!C60)</f>
        <v>0</v>
      </c>
      <c r="Q60" s="61">
        <f ca="1">SUM(HR!C60)</f>
        <v>0</v>
      </c>
      <c r="R60" s="61">
        <f ca="1">SUM(IT!C60)</f>
        <v>0</v>
      </c>
      <c r="S60" s="39"/>
      <c r="T60" s="67">
        <f t="shared" si="4"/>
        <v>0</v>
      </c>
    </row>
    <row r="61" spans="1:20">
      <c r="A61" s="10" t="s">
        <v>4</v>
      </c>
      <c r="B61" s="10" t="s">
        <v>5</v>
      </c>
      <c r="C61" s="39"/>
      <c r="D61" s="61">
        <f ca="1">SUM(DID!C61)</f>
        <v>0</v>
      </c>
      <c r="E61" s="61">
        <f ca="1">SUM(DID!D61)</f>
        <v>0</v>
      </c>
      <c r="F61" s="61">
        <f ca="1">SUM(DID!E61)</f>
        <v>0</v>
      </c>
      <c r="G61" s="61">
        <f ca="1">SUM(FC!C61)</f>
        <v>0</v>
      </c>
      <c r="H61" s="61">
        <f ca="1">SUM(FN!C61)</f>
        <v>0</v>
      </c>
      <c r="I61" s="61">
        <f ca="1">SUM(FN!D61)</f>
        <v>0</v>
      </c>
      <c r="J61" s="61">
        <f ca="1">SUM(FN!E61)</f>
        <v>0</v>
      </c>
      <c r="K61" s="61">
        <f ca="1">SUM(FN!F61)</f>
        <v>0</v>
      </c>
      <c r="L61" s="61">
        <f ca="1">SUM(FN!G61)</f>
        <v>0</v>
      </c>
      <c r="M61" s="61">
        <f ca="1">SUM(FN!H61)</f>
        <v>0</v>
      </c>
      <c r="N61" s="61">
        <f ca="1">SUM('AC-SVC'!H61)</f>
        <v>0</v>
      </c>
      <c r="O61" s="61">
        <f ca="1">SUM(FS!C61)</f>
        <v>0</v>
      </c>
      <c r="P61" s="61">
        <f ca="1">SUM('AC-SVC'!C61)</f>
        <v>0</v>
      </c>
      <c r="Q61" s="61">
        <f ca="1">SUM(HR!C61)</f>
        <v>0</v>
      </c>
      <c r="R61" s="61">
        <f ca="1">SUM(IT!C61)</f>
        <v>0</v>
      </c>
      <c r="S61" s="39"/>
      <c r="T61" s="67">
        <f t="shared" si="4"/>
        <v>0</v>
      </c>
    </row>
    <row r="62" spans="1:20">
      <c r="A62" s="10" t="s">
        <v>6</v>
      </c>
      <c r="B62" s="10" t="s">
        <v>7</v>
      </c>
      <c r="C62" s="39"/>
      <c r="D62" s="61">
        <f ca="1">SUM(DID!C62)</f>
        <v>0</v>
      </c>
      <c r="E62" s="61">
        <f ca="1">SUM(DID!D62)</f>
        <v>0</v>
      </c>
      <c r="F62" s="61">
        <f ca="1">SUM(DID!E62)</f>
        <v>0</v>
      </c>
      <c r="G62" s="61">
        <f ca="1">SUM(FC!C62)</f>
        <v>0</v>
      </c>
      <c r="H62" s="61">
        <f ca="1">SUM(FN!C62)</f>
        <v>0</v>
      </c>
      <c r="I62" s="61">
        <f ca="1">SUM(FN!D62)</f>
        <v>0</v>
      </c>
      <c r="J62" s="61">
        <f ca="1">SUM(FN!E62)</f>
        <v>0</v>
      </c>
      <c r="K62" s="61">
        <f ca="1">SUM(FN!F62)</f>
        <v>0</v>
      </c>
      <c r="L62" s="61">
        <f ca="1">SUM(FN!G62)</f>
        <v>0</v>
      </c>
      <c r="M62" s="61">
        <f ca="1">SUM(FN!H62)</f>
        <v>0</v>
      </c>
      <c r="N62" s="61">
        <f ca="1">SUM('AC-SVC'!H62)</f>
        <v>0</v>
      </c>
      <c r="O62" s="61">
        <f ca="1">SUM(FS!C62)</f>
        <v>0</v>
      </c>
      <c r="P62" s="61">
        <f ca="1">SUM('AC-SVC'!C62)</f>
        <v>0</v>
      </c>
      <c r="Q62" s="61">
        <f ca="1">SUM(HR!C62)</f>
        <v>0</v>
      </c>
      <c r="R62" s="61">
        <f ca="1">SUM(IT!C62)</f>
        <v>0</v>
      </c>
      <c r="S62" s="39"/>
      <c r="T62" s="67">
        <f t="shared" si="4"/>
        <v>0</v>
      </c>
    </row>
    <row r="63" spans="1:20">
      <c r="A63" s="10" t="s">
        <v>8</v>
      </c>
      <c r="B63" s="10" t="s">
        <v>9</v>
      </c>
      <c r="C63" s="39"/>
      <c r="D63" s="61"/>
      <c r="E63" s="61">
        <f ca="1">SUM(DID!D63)</f>
        <v>0</v>
      </c>
      <c r="F63" s="61">
        <f ca="1">SUM(DID!E63)</f>
        <v>0</v>
      </c>
      <c r="G63" s="61">
        <f ca="1">SUM(FC!C63)</f>
        <v>0</v>
      </c>
      <c r="H63" s="61">
        <f ca="1">SUM(FN!C63)</f>
        <v>0</v>
      </c>
      <c r="I63" s="61">
        <f ca="1">SUM(FN!D63)</f>
        <v>0</v>
      </c>
      <c r="J63" s="61">
        <f ca="1">SUM(FN!E63)</f>
        <v>0</v>
      </c>
      <c r="K63" s="61">
        <f ca="1">SUM(FN!F63)</f>
        <v>0</v>
      </c>
      <c r="L63" s="61">
        <f ca="1">SUM(FN!G63)</f>
        <v>0</v>
      </c>
      <c r="M63" s="61">
        <f ca="1">SUM(FN!H63)</f>
        <v>0</v>
      </c>
      <c r="N63" s="61">
        <f ca="1">SUM('AC-SVC'!H63)</f>
        <v>0</v>
      </c>
      <c r="O63" s="61">
        <f ca="1">SUM(FS!C63)</f>
        <v>0</v>
      </c>
      <c r="P63" s="61">
        <f ca="1">SUM('AC-SVC'!C63)</f>
        <v>0</v>
      </c>
      <c r="Q63" s="61">
        <f ca="1">SUM(HR!C63)</f>
        <v>0</v>
      </c>
      <c r="R63" s="61">
        <f ca="1">SUM(IT!C63)</f>
        <v>0</v>
      </c>
      <c r="S63" s="39"/>
      <c r="T63" s="67">
        <f t="shared" si="4"/>
        <v>0</v>
      </c>
    </row>
    <row r="64" spans="1:20">
      <c r="A64" s="10" t="s">
        <v>11</v>
      </c>
      <c r="B64" s="10" t="s">
        <v>310</v>
      </c>
      <c r="C64" s="39"/>
      <c r="D64" s="61">
        <f ca="1">SUM(DID!C64)</f>
        <v>0</v>
      </c>
      <c r="E64" s="61">
        <f ca="1">SUM(DID!D64)</f>
        <v>0</v>
      </c>
      <c r="F64" s="61">
        <f ca="1">SUM(DID!E64)</f>
        <v>0</v>
      </c>
      <c r="G64" s="61">
        <f ca="1">SUM(FC!C64)</f>
        <v>0</v>
      </c>
      <c r="H64" s="61">
        <f ca="1">SUM(FN!C64)</f>
        <v>0</v>
      </c>
      <c r="I64" s="61">
        <f ca="1">SUM(FN!D64)</f>
        <v>0</v>
      </c>
      <c r="J64" s="61">
        <f ca="1">SUM(FN!E64)</f>
        <v>0</v>
      </c>
      <c r="K64" s="61">
        <f ca="1">SUM(FN!F64)</f>
        <v>0</v>
      </c>
      <c r="L64" s="61">
        <f ca="1">SUM(FN!G64)</f>
        <v>0</v>
      </c>
      <c r="M64" s="61">
        <f ca="1">SUM(FN!H64)</f>
        <v>0</v>
      </c>
      <c r="N64" s="61">
        <f ca="1">SUM('AC-SVC'!H64)</f>
        <v>0</v>
      </c>
      <c r="O64" s="61">
        <f ca="1">SUM(FS!C64)</f>
        <v>0</v>
      </c>
      <c r="P64" s="61">
        <f ca="1">SUM('AC-SVC'!C64)</f>
        <v>0</v>
      </c>
      <c r="Q64" s="61">
        <f ca="1">SUM(HR!C64)</f>
        <v>0</v>
      </c>
      <c r="R64" s="61">
        <f ca="1">SUM(IT!C64)</f>
        <v>0</v>
      </c>
      <c r="S64" s="39"/>
      <c r="T64" s="67">
        <f t="shared" si="4"/>
        <v>0</v>
      </c>
    </row>
    <row r="65" spans="1:20">
      <c r="A65" s="10" t="s">
        <v>10</v>
      </c>
      <c r="B65" s="10" t="s">
        <v>309</v>
      </c>
      <c r="C65" s="40"/>
      <c r="D65" s="40">
        <f ca="1">SUM(DID!C65)</f>
        <v>0</v>
      </c>
      <c r="E65" s="40">
        <f ca="1">SUM(DID!D65)</f>
        <v>0</v>
      </c>
      <c r="F65" s="40">
        <f ca="1">SUM(DID!E65)</f>
        <v>0</v>
      </c>
      <c r="G65" s="40">
        <f ca="1">SUM(FC!C65)</f>
        <v>0</v>
      </c>
      <c r="H65" s="40">
        <f ca="1">SUM(FN!C65)</f>
        <v>0</v>
      </c>
      <c r="I65" s="40">
        <f ca="1">SUM(FN!D65)</f>
        <v>0</v>
      </c>
      <c r="J65" s="40">
        <f ca="1">SUM(FN!E65)</f>
        <v>0</v>
      </c>
      <c r="K65" s="40">
        <f ca="1">SUM(FN!F65)</f>
        <v>0</v>
      </c>
      <c r="L65" s="40">
        <f ca="1">SUM(FN!G65)</f>
        <v>0</v>
      </c>
      <c r="M65" s="40">
        <f ca="1">SUM(FN!H65)</f>
        <v>0</v>
      </c>
      <c r="N65" s="40">
        <f ca="1">SUM('AC-SVC'!H65)</f>
        <v>0</v>
      </c>
      <c r="O65" s="40">
        <f ca="1">SUM(FS!C65)</f>
        <v>0</v>
      </c>
      <c r="P65" s="40">
        <f ca="1">SUM('AC-SVC'!C65)</f>
        <v>0</v>
      </c>
      <c r="Q65" s="40">
        <f ca="1">SUM(HR!C65)</f>
        <v>0</v>
      </c>
      <c r="R65" s="40">
        <f ca="1">SUM(IT!C65)</f>
        <v>0</v>
      </c>
      <c r="S65" s="39"/>
      <c r="T65" s="66">
        <f t="shared" si="4"/>
        <v>0</v>
      </c>
    </row>
    <row r="66" spans="1:20">
      <c r="B66" s="10" t="s">
        <v>311</v>
      </c>
      <c r="C66" s="39">
        <f>+SUM(C53:C65)</f>
        <v>0</v>
      </c>
      <c r="D66" s="39">
        <f t="shared" ref="D66:R66" si="5">+SUM(D53:D65)</f>
        <v>0</v>
      </c>
      <c r="E66" s="39">
        <f t="shared" si="5"/>
        <v>0</v>
      </c>
      <c r="F66" s="39">
        <f t="shared" si="5"/>
        <v>0</v>
      </c>
      <c r="G66" s="39">
        <f t="shared" si="5"/>
        <v>0</v>
      </c>
      <c r="H66" s="39">
        <f t="shared" si="5"/>
        <v>0</v>
      </c>
      <c r="I66" s="39">
        <f t="shared" si="5"/>
        <v>0</v>
      </c>
      <c r="J66" s="39">
        <f t="shared" si="5"/>
        <v>0</v>
      </c>
      <c r="K66" s="39">
        <f>+SUM(K53:K65)</f>
        <v>0</v>
      </c>
      <c r="L66" s="39">
        <f>+SUM(L53:L65)</f>
        <v>0</v>
      </c>
      <c r="M66" s="39">
        <f>+SUM(M53:M65)</f>
        <v>0</v>
      </c>
      <c r="N66" s="39">
        <f t="shared" si="5"/>
        <v>0</v>
      </c>
      <c r="O66" s="39">
        <f t="shared" si="5"/>
        <v>0</v>
      </c>
      <c r="P66" s="39">
        <f>+SUM(P53:P65)</f>
        <v>0</v>
      </c>
      <c r="Q66" s="39">
        <f t="shared" si="5"/>
        <v>0</v>
      </c>
      <c r="R66" s="39">
        <f t="shared" si="5"/>
        <v>23523.054</v>
      </c>
      <c r="S66" s="39"/>
      <c r="T66" s="57">
        <f>SUM(T53:T65)</f>
        <v>23523.054</v>
      </c>
    </row>
    <row r="67" spans="1:20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57"/>
    </row>
    <row r="68" spans="1:20" s="4" customFormat="1" ht="10.5">
      <c r="A68" s="14"/>
      <c r="B68" s="14" t="s">
        <v>312</v>
      </c>
      <c r="C68" s="41">
        <f>+C66+C49+C38</f>
        <v>1674527.9227272728</v>
      </c>
      <c r="D68" s="41">
        <f t="shared" ref="D68:R68" si="6">+D66+D49+D38</f>
        <v>56000</v>
      </c>
      <c r="E68" s="41">
        <f t="shared" si="6"/>
        <v>120000</v>
      </c>
      <c r="F68" s="41">
        <f t="shared" si="6"/>
        <v>0</v>
      </c>
      <c r="G68" s="41">
        <f t="shared" si="6"/>
        <v>0</v>
      </c>
      <c r="H68" s="41">
        <f t="shared" si="6"/>
        <v>0</v>
      </c>
      <c r="I68" s="41">
        <f t="shared" si="6"/>
        <v>0</v>
      </c>
      <c r="J68" s="41">
        <f t="shared" si="6"/>
        <v>5400</v>
      </c>
      <c r="K68" s="41">
        <f>+K66+K49+K38</f>
        <v>0</v>
      </c>
      <c r="L68" s="41">
        <f>+L66+L49+L38</f>
        <v>0</v>
      </c>
      <c r="M68" s="41">
        <f>+M66+M49+M38</f>
        <v>0</v>
      </c>
      <c r="N68" s="41">
        <f>SUM(N38+N49+N66)</f>
        <v>0</v>
      </c>
      <c r="O68" s="41">
        <f t="shared" si="6"/>
        <v>0</v>
      </c>
      <c r="P68" s="41">
        <f>+P66+P49+P38</f>
        <v>0</v>
      </c>
      <c r="Q68" s="41">
        <f t="shared" si="6"/>
        <v>0</v>
      </c>
      <c r="R68" s="41">
        <f t="shared" si="6"/>
        <v>23523.054</v>
      </c>
      <c r="S68" s="41"/>
      <c r="T68" s="41">
        <f>+T66+T49+T38</f>
        <v>1879450.9767272728</v>
      </c>
    </row>
    <row r="69" spans="1:20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57"/>
    </row>
    <row r="70" spans="1:20">
      <c r="A70" s="10" t="s">
        <v>313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57"/>
    </row>
    <row r="71" spans="1:20">
      <c r="A71" s="10" t="s">
        <v>314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57"/>
    </row>
    <row r="72" spans="1:20">
      <c r="A72" s="10" t="s">
        <v>19</v>
      </c>
      <c r="B72" s="10" t="s">
        <v>323</v>
      </c>
      <c r="C72" s="39">
        <f ca="1">SUM('STF-SCH'!D14)</f>
        <v>129999.84698605193</v>
      </c>
      <c r="D72" s="61">
        <f ca="1">SUM(DID!C72)</f>
        <v>61201.951915331323</v>
      </c>
      <c r="E72" s="61">
        <f ca="1">SUM(DID!D72)</f>
        <v>0</v>
      </c>
      <c r="F72" s="61">
        <f ca="1">SUM(DID!E72)</f>
        <v>0</v>
      </c>
      <c r="G72" s="61">
        <f ca="1">SUM(FC!C72)</f>
        <v>60395.602087724852</v>
      </c>
      <c r="H72" s="61">
        <f ca="1">SUM(FN!C72)</f>
        <v>0</v>
      </c>
      <c r="I72" s="61">
        <f ca="1">SUM(FN!D72)</f>
        <v>45000</v>
      </c>
      <c r="J72" s="61">
        <f ca="1">SUM(FN!E72)</f>
        <v>66069.350000000006</v>
      </c>
      <c r="K72" s="61">
        <f ca="1">SUM(FN!F72)</f>
        <v>0</v>
      </c>
      <c r="L72" s="61">
        <f ca="1">SUM(FN!G72)</f>
        <v>0</v>
      </c>
      <c r="M72" s="61">
        <f ca="1">SUM(FN!H72)</f>
        <v>0</v>
      </c>
      <c r="N72" s="61">
        <f ca="1">SUM('AC-SVC'!H72)*N7</f>
        <v>5500</v>
      </c>
      <c r="O72" s="61">
        <f ca="1">SUM(FS!C72)</f>
        <v>50913.770138623076</v>
      </c>
      <c r="P72" s="61">
        <f ca="1">SUM('AC-SVC'!C72)*P7</f>
        <v>5396.2828622516581</v>
      </c>
      <c r="Q72" s="61">
        <f ca="1">SUM(HR!C72)</f>
        <v>69870.603994056059</v>
      </c>
      <c r="R72" s="61">
        <f ca="1">SUM(IT!C72)</f>
        <v>0</v>
      </c>
      <c r="S72" s="39"/>
      <c r="T72" s="67">
        <f t="shared" ref="T72:T79" si="7">SUM(C72:R72)</f>
        <v>494347.40798403893</v>
      </c>
    </row>
    <row r="73" spans="1:20">
      <c r="A73" s="10" t="s">
        <v>12</v>
      </c>
      <c r="B73" s="10" t="s">
        <v>315</v>
      </c>
      <c r="C73" s="39"/>
      <c r="D73" s="61">
        <f ca="1">SUM(DID!C73)</f>
        <v>0</v>
      </c>
      <c r="E73" s="61">
        <f ca="1">SUM(DID!D73)</f>
        <v>0</v>
      </c>
      <c r="F73" s="61">
        <f ca="1">SUM(DID!E73)</f>
        <v>0</v>
      </c>
      <c r="G73" s="61">
        <f ca="1">SUM(FC!C73)</f>
        <v>0</v>
      </c>
      <c r="H73" s="61">
        <f ca="1">SUM(FN!C73)</f>
        <v>0</v>
      </c>
      <c r="I73" s="61">
        <f ca="1">SUM(FN!D73)</f>
        <v>0</v>
      </c>
      <c r="J73" s="61">
        <f ca="1">SUM(FN!E73)</f>
        <v>0</v>
      </c>
      <c r="K73" s="61">
        <f ca="1">SUM(FN!F73)</f>
        <v>0</v>
      </c>
      <c r="L73" s="61">
        <f ca="1">SUM(FN!G73)</f>
        <v>0</v>
      </c>
      <c r="M73" s="61">
        <f ca="1">SUM(FN!H73)</f>
        <v>0</v>
      </c>
      <c r="N73" s="61">
        <f ca="1">SUM('AC-SVC'!H73)</f>
        <v>0</v>
      </c>
      <c r="O73" s="61">
        <f ca="1">SUM(FS!C73)</f>
        <v>0</v>
      </c>
      <c r="P73" s="61">
        <f ca="1">SUM('AC-SVC'!C73)*P7</f>
        <v>1000</v>
      </c>
      <c r="Q73" s="61">
        <f ca="1">SUM(HR!C73)</f>
        <v>0</v>
      </c>
      <c r="R73" s="61">
        <f ca="1">SUM(IT!C73)</f>
        <v>0</v>
      </c>
      <c r="S73" s="39"/>
      <c r="T73" s="67">
        <f t="shared" si="7"/>
        <v>1000</v>
      </c>
    </row>
    <row r="74" spans="1:20">
      <c r="A74" s="10" t="s">
        <v>13</v>
      </c>
      <c r="B74" s="10" t="s">
        <v>316</v>
      </c>
      <c r="C74" s="39"/>
      <c r="D74" s="61">
        <f ca="1">SUM(DID!C74)</f>
        <v>0</v>
      </c>
      <c r="E74" s="61">
        <f ca="1">SUM(DID!D74)</f>
        <v>0</v>
      </c>
      <c r="F74" s="61">
        <f ca="1">SUM(DID!E74)</f>
        <v>0</v>
      </c>
      <c r="G74" s="61">
        <f ca="1">SUM(FC!C74)</f>
        <v>0</v>
      </c>
      <c r="H74" s="61">
        <f ca="1">SUM(FN!C74)</f>
        <v>0</v>
      </c>
      <c r="I74" s="61">
        <f ca="1">SUM(FN!D74)</f>
        <v>0</v>
      </c>
      <c r="J74" s="61">
        <f ca="1">SUM(FN!E74)</f>
        <v>0</v>
      </c>
      <c r="K74" s="61">
        <f ca="1">SUM(FN!F74)</f>
        <v>0</v>
      </c>
      <c r="L74" s="61">
        <f ca="1">SUM(FN!G74)</f>
        <v>0</v>
      </c>
      <c r="M74" s="61">
        <f ca="1">SUM(FN!H74)</f>
        <v>0</v>
      </c>
      <c r="N74" s="61">
        <f ca="1">SUM('AC-SVC'!H74)</f>
        <v>0</v>
      </c>
      <c r="O74" s="61">
        <f ca="1">SUM(FS!C74)</f>
        <v>0</v>
      </c>
      <c r="P74" s="61">
        <f ca="1">SUM('AC-SVC'!C74)</f>
        <v>0</v>
      </c>
      <c r="Q74" s="61">
        <f ca="1">SUM(HR!C74)</f>
        <v>0</v>
      </c>
      <c r="R74" s="61">
        <f ca="1">SUM(IT!C74)</f>
        <v>0</v>
      </c>
      <c r="S74" s="39"/>
      <c r="T74" s="67">
        <f t="shared" si="7"/>
        <v>0</v>
      </c>
    </row>
    <row r="75" spans="1:20">
      <c r="A75" s="10" t="s">
        <v>14</v>
      </c>
      <c r="B75" s="10" t="s">
        <v>317</v>
      </c>
      <c r="C75" s="39"/>
      <c r="D75" s="61">
        <f ca="1">SUM(DID!C75)</f>
        <v>0</v>
      </c>
      <c r="E75" s="61">
        <f ca="1">SUM(DID!D75)</f>
        <v>0</v>
      </c>
      <c r="F75" s="61">
        <f ca="1">SUM(DID!E75)</f>
        <v>0</v>
      </c>
      <c r="G75" s="61">
        <f ca="1">SUM(FC!C75)</f>
        <v>0</v>
      </c>
      <c r="H75" s="61">
        <f ca="1">SUM(FN!C75)</f>
        <v>0</v>
      </c>
      <c r="I75" s="61">
        <f ca="1">SUM(FN!D75)</f>
        <v>0</v>
      </c>
      <c r="J75" s="61">
        <f ca="1">SUM(FN!E75)</f>
        <v>0</v>
      </c>
      <c r="K75" s="61">
        <f ca="1">SUM(FN!F75)</f>
        <v>0</v>
      </c>
      <c r="L75" s="61">
        <f ca="1">SUM(FN!G75)</f>
        <v>0</v>
      </c>
      <c r="M75" s="61">
        <f ca="1">SUM(FN!H75)</f>
        <v>0</v>
      </c>
      <c r="N75" s="61">
        <f ca="1">SUM('AC-SVC'!H75)</f>
        <v>0</v>
      </c>
      <c r="O75" s="61">
        <f ca="1">SUM(FS!C75)</f>
        <v>0</v>
      </c>
      <c r="P75" s="61">
        <f ca="1">SUM('AC-SVC'!C75)</f>
        <v>0</v>
      </c>
      <c r="Q75" s="61">
        <f ca="1">SUM(HR!C75)</f>
        <v>0</v>
      </c>
      <c r="R75" s="61">
        <f ca="1">SUM(IT!C75)</f>
        <v>0</v>
      </c>
      <c r="S75" s="39"/>
      <c r="T75" s="67">
        <f t="shared" si="7"/>
        <v>0</v>
      </c>
    </row>
    <row r="76" spans="1:20">
      <c r="A76" s="10" t="s">
        <v>15</v>
      </c>
      <c r="B76" s="10" t="s">
        <v>318</v>
      </c>
      <c r="C76" s="39"/>
      <c r="D76" s="61">
        <f ca="1">SUM(DID!C76)</f>
        <v>0</v>
      </c>
      <c r="E76" s="61">
        <f ca="1">SUM(DID!D76)</f>
        <v>52793.341343622007</v>
      </c>
      <c r="F76" s="61">
        <f ca="1">SUM(DID!E76)</f>
        <v>0</v>
      </c>
      <c r="G76" s="61">
        <f ca="1">SUM(FC!C76)</f>
        <v>0</v>
      </c>
      <c r="H76" s="61">
        <f ca="1">SUM(FN!C76)</f>
        <v>0</v>
      </c>
      <c r="I76" s="61">
        <f ca="1">SUM(FN!D76)</f>
        <v>0</v>
      </c>
      <c r="J76" s="61">
        <f ca="1">SUM(FN!E76)</f>
        <v>0</v>
      </c>
      <c r="K76" s="61">
        <f ca="1">SUM(FN!F76)</f>
        <v>42341.641432199998</v>
      </c>
      <c r="L76" s="61">
        <f ca="1">SUM(FN!G76)</f>
        <v>0</v>
      </c>
      <c r="M76" s="61">
        <f ca="1">SUM(FN!H76)</f>
        <v>0</v>
      </c>
      <c r="N76" s="61">
        <f ca="1">SUM('AC-SVC'!H76)</f>
        <v>0</v>
      </c>
      <c r="O76" s="61">
        <f ca="1">SUM(FS!C76)</f>
        <v>0</v>
      </c>
      <c r="P76" s="61">
        <f ca="1">SUM('AC-SVC'!C76)</f>
        <v>0</v>
      </c>
      <c r="Q76" s="61">
        <f ca="1">SUM(HR!C76)</f>
        <v>0</v>
      </c>
      <c r="R76" s="61">
        <f ca="1">SUM(IT!C76)</f>
        <v>4361.1890675165996</v>
      </c>
      <c r="S76" s="39"/>
      <c r="T76" s="67">
        <f t="shared" si="7"/>
        <v>99496.171843338612</v>
      </c>
    </row>
    <row r="77" spans="1:20">
      <c r="A77" s="10" t="s">
        <v>16</v>
      </c>
      <c r="B77" s="10" t="s">
        <v>319</v>
      </c>
      <c r="C77" s="39">
        <f ca="1">SUM('OP-SCH'!F41)</f>
        <v>47497.728682708475</v>
      </c>
      <c r="D77" s="61">
        <f ca="1">SUM(DID!C77)</f>
        <v>0</v>
      </c>
      <c r="E77" s="61">
        <f ca="1">SUM(DID!D77)</f>
        <v>0</v>
      </c>
      <c r="F77" s="61">
        <f ca="1">SUM(DID!E77)</f>
        <v>42313.503711949998</v>
      </c>
      <c r="G77" s="61">
        <f ca="1">SUM(FC!C77)</f>
        <v>0</v>
      </c>
      <c r="H77" s="61">
        <f ca="1">SUM(FN!C77)</f>
        <v>69138.956000000006</v>
      </c>
      <c r="I77" s="61">
        <f ca="1">SUM(FN!D77)</f>
        <v>22460.123697710489</v>
      </c>
      <c r="J77" s="61">
        <f ca="1">SUM(FN!E77)</f>
        <v>0</v>
      </c>
      <c r="K77" s="61">
        <f ca="1">SUM(FN!F77)</f>
        <v>0</v>
      </c>
      <c r="L77" s="61">
        <f ca="1">SUM(FN!G77)</f>
        <v>26780</v>
      </c>
      <c r="M77" s="61">
        <f ca="1">SUM(FN!H77)</f>
        <v>29061.45</v>
      </c>
      <c r="N77" s="61">
        <f ca="1">SUM('AC-SVC'!H77)</f>
        <v>0</v>
      </c>
      <c r="O77" s="61">
        <f ca="1">SUM(FS!C77)</f>
        <v>0</v>
      </c>
      <c r="P77" s="61">
        <f ca="1">SUM('AC-SVC'!C77)</f>
        <v>0</v>
      </c>
      <c r="Q77" s="61">
        <f ca="1">SUM(HR!C77)</f>
        <v>26780</v>
      </c>
      <c r="R77" s="61">
        <f ca="1">SUM(IT!C77)</f>
        <v>0</v>
      </c>
      <c r="S77" s="39"/>
      <c r="T77" s="67">
        <f t="shared" si="7"/>
        <v>264031.76209236897</v>
      </c>
    </row>
    <row r="78" spans="1:20">
      <c r="A78" s="10" t="s">
        <v>17</v>
      </c>
      <c r="B78" s="10" t="s">
        <v>320</v>
      </c>
      <c r="C78" s="39"/>
      <c r="D78" s="61">
        <f ca="1">SUM(DID!C78)</f>
        <v>0</v>
      </c>
      <c r="E78" s="61">
        <f ca="1">SUM(DID!D78)</f>
        <v>0</v>
      </c>
      <c r="F78" s="61">
        <f ca="1">SUM(DID!E78)</f>
        <v>0</v>
      </c>
      <c r="G78" s="61">
        <f ca="1">SUM(FC!C78)</f>
        <v>0</v>
      </c>
      <c r="H78" s="61">
        <f ca="1">SUM(FN!C78)</f>
        <v>0</v>
      </c>
      <c r="I78" s="61">
        <f ca="1">SUM(FN!D78)</f>
        <v>0</v>
      </c>
      <c r="J78" s="61">
        <f ca="1">SUM(FN!E78)</f>
        <v>0</v>
      </c>
      <c r="K78" s="61">
        <f ca="1">SUM(FN!F78)</f>
        <v>0</v>
      </c>
      <c r="L78" s="61">
        <f ca="1">SUM(FN!G78)</f>
        <v>0</v>
      </c>
      <c r="M78" s="61">
        <f ca="1">SUM(FN!H78)</f>
        <v>0</v>
      </c>
      <c r="N78" s="61">
        <f ca="1">SUM('AC-SVC'!H78)</f>
        <v>0</v>
      </c>
      <c r="O78" s="61">
        <f ca="1">SUM(FS!C78)</f>
        <v>0</v>
      </c>
      <c r="P78" s="61">
        <f ca="1">SUM('AC-SVC'!C78)</f>
        <v>0</v>
      </c>
      <c r="Q78" s="61">
        <f ca="1">SUM(HR!C78)</f>
        <v>0</v>
      </c>
      <c r="R78" s="61">
        <f ca="1">SUM(IT!C78)</f>
        <v>0</v>
      </c>
      <c r="S78" s="39"/>
      <c r="T78" s="67">
        <f t="shared" si="7"/>
        <v>0</v>
      </c>
    </row>
    <row r="79" spans="1:20" ht="14.25" customHeight="1">
      <c r="A79" s="10" t="s">
        <v>18</v>
      </c>
      <c r="B79" s="10" t="s">
        <v>322</v>
      </c>
      <c r="C79" s="40"/>
      <c r="D79" s="40">
        <f ca="1">SUM(DID!C79)</f>
        <v>0</v>
      </c>
      <c r="E79" s="40">
        <f ca="1">SUM(DID!D79)</f>
        <v>0</v>
      </c>
      <c r="F79" s="40">
        <f ca="1">SUM(DID!E79)</f>
        <v>0</v>
      </c>
      <c r="G79" s="40">
        <f ca="1">SUM(FC!C79)</f>
        <v>0</v>
      </c>
      <c r="H79" s="40">
        <f ca="1">SUM(FN!C79)</f>
        <v>0</v>
      </c>
      <c r="I79" s="40">
        <f ca="1">SUM(FN!D79)</f>
        <v>0</v>
      </c>
      <c r="J79" s="40">
        <f ca="1">SUM(FN!E79)</f>
        <v>0</v>
      </c>
      <c r="K79" s="40">
        <f ca="1">SUM(FN!F79)</f>
        <v>0</v>
      </c>
      <c r="L79" s="40">
        <f ca="1">SUM(FN!G79)</f>
        <v>0</v>
      </c>
      <c r="M79" s="40">
        <f ca="1">SUM(FN!H79)</f>
        <v>0</v>
      </c>
      <c r="N79" s="40">
        <f ca="1">SUM('AC-SVC'!H79)</f>
        <v>0</v>
      </c>
      <c r="O79" s="40">
        <f ca="1">SUM(FS!C79)</f>
        <v>0</v>
      </c>
      <c r="P79" s="40">
        <f ca="1">SUM('AC-SVC'!C79)</f>
        <v>0</v>
      </c>
      <c r="Q79" s="40">
        <f ca="1">SUM(HR!C79)</f>
        <v>0</v>
      </c>
      <c r="R79" s="40">
        <f ca="1">SUM(IT!C79)</f>
        <v>0</v>
      </c>
      <c r="S79" s="39"/>
      <c r="T79" s="66">
        <f t="shared" si="7"/>
        <v>0</v>
      </c>
    </row>
    <row r="80" spans="1:20">
      <c r="B80" s="10" t="s">
        <v>24</v>
      </c>
      <c r="C80" s="39">
        <f>SUM(C72:C79)</f>
        <v>177497.5756687604</v>
      </c>
      <c r="D80" s="39">
        <f t="shared" ref="D80:R80" si="8">SUM(D72:D79)</f>
        <v>61201.951915331323</v>
      </c>
      <c r="E80" s="39">
        <f t="shared" si="8"/>
        <v>52793.341343622007</v>
      </c>
      <c r="F80" s="39">
        <f t="shared" si="8"/>
        <v>42313.503711949998</v>
      </c>
      <c r="G80" s="39">
        <f t="shared" si="8"/>
        <v>60395.602087724852</v>
      </c>
      <c r="H80" s="39">
        <f t="shared" si="8"/>
        <v>69138.956000000006</v>
      </c>
      <c r="I80" s="39">
        <f t="shared" si="8"/>
        <v>67460.123697710485</v>
      </c>
      <c r="J80" s="39">
        <f t="shared" si="8"/>
        <v>66069.350000000006</v>
      </c>
      <c r="K80" s="39">
        <f>SUM(K72:K79)</f>
        <v>42341.641432199998</v>
      </c>
      <c r="L80" s="39">
        <f>SUM(L72:L79)</f>
        <v>26780</v>
      </c>
      <c r="M80" s="39">
        <f>SUM(M72:M79)</f>
        <v>29061.45</v>
      </c>
      <c r="N80" s="39">
        <f>SUM(N72:N79)</f>
        <v>5500</v>
      </c>
      <c r="O80" s="39">
        <f t="shared" si="8"/>
        <v>50913.770138623076</v>
      </c>
      <c r="P80" s="39">
        <f>SUM(P72:P79)</f>
        <v>6396.2828622516581</v>
      </c>
      <c r="Q80" s="39">
        <f t="shared" si="8"/>
        <v>96650.603994056059</v>
      </c>
      <c r="R80" s="39">
        <f t="shared" si="8"/>
        <v>4361.1890675165996</v>
      </c>
      <c r="S80" s="39"/>
      <c r="T80" s="57">
        <f>SUM(T72:T79)</f>
        <v>858875.34191974648</v>
      </c>
    </row>
    <row r="81" spans="1:20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57"/>
    </row>
    <row r="82" spans="1:20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57"/>
    </row>
    <row r="83" spans="1:20">
      <c r="A83" s="10" t="s">
        <v>325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61">
        <f ca="1">SUM(FS!C83)</f>
        <v>0</v>
      </c>
      <c r="P83" s="61">
        <f ca="1">SUM('AC-SVC'!C83)</f>
        <v>0</v>
      </c>
      <c r="Q83" s="61">
        <f ca="1">SUM(HR!C83)</f>
        <v>0</v>
      </c>
      <c r="R83" s="61">
        <f ca="1">SUM(IT!C83)</f>
        <v>0</v>
      </c>
      <c r="S83" s="39"/>
      <c r="T83" s="57"/>
    </row>
    <row r="84" spans="1:20">
      <c r="A84" s="10" t="s">
        <v>20</v>
      </c>
      <c r="B84" s="10" t="s">
        <v>324</v>
      </c>
      <c r="C84" s="39"/>
      <c r="D84" s="61">
        <f ca="1">SUM(DID!C84)</f>
        <v>0</v>
      </c>
      <c r="E84" s="61">
        <f ca="1">SUM(DID!D84)</f>
        <v>0</v>
      </c>
      <c r="F84" s="61">
        <f ca="1">SUM(DID!E84)</f>
        <v>0</v>
      </c>
      <c r="G84" s="61">
        <f ca="1">SUM(FC!C84)</f>
        <v>0</v>
      </c>
      <c r="H84" s="61">
        <f ca="1">SUM(FN!C84)</f>
        <v>0</v>
      </c>
      <c r="I84" s="61">
        <f ca="1">SUM(FN!D84)</f>
        <v>0</v>
      </c>
      <c r="J84" s="61">
        <f ca="1">SUM(FN!E84)</f>
        <v>0</v>
      </c>
      <c r="K84" s="61">
        <f ca="1">SUM(FN!F84)</f>
        <v>0</v>
      </c>
      <c r="L84" s="61">
        <f ca="1">SUM(FN!G84)</f>
        <v>0</v>
      </c>
      <c r="M84" s="61">
        <f ca="1">SUM(FN!H84)</f>
        <v>0</v>
      </c>
      <c r="N84" s="61">
        <f ca="1">SUM('AC-SVC'!H84)</f>
        <v>0</v>
      </c>
      <c r="O84" s="61">
        <f ca="1">SUM(FS!C84)</f>
        <v>0</v>
      </c>
      <c r="P84" s="61">
        <f ca="1">SUM('AC-SVC'!C84)</f>
        <v>0</v>
      </c>
      <c r="Q84" s="61">
        <f ca="1">SUM(HR!C84)</f>
        <v>0</v>
      </c>
      <c r="R84" s="61">
        <f ca="1">SUM(IT!C84)</f>
        <v>0</v>
      </c>
      <c r="S84" s="39"/>
      <c r="T84" s="67">
        <f>SUM(C84:R84)</f>
        <v>0</v>
      </c>
    </row>
    <row r="85" spans="1:20">
      <c r="A85" s="10" t="s">
        <v>21</v>
      </c>
      <c r="B85" s="10" t="s">
        <v>325</v>
      </c>
      <c r="C85" s="39"/>
      <c r="D85" s="61">
        <f ca="1">SUM(DID!C85)</f>
        <v>0</v>
      </c>
      <c r="E85" s="61">
        <f ca="1">SUM(DID!D85)</f>
        <v>0</v>
      </c>
      <c r="F85" s="61">
        <f ca="1">SUM(DID!E85)</f>
        <v>0</v>
      </c>
      <c r="G85" s="61">
        <f ca="1">SUM(FC!C85)</f>
        <v>0</v>
      </c>
      <c r="H85" s="61">
        <f ca="1">SUM(FN!C85)</f>
        <v>0</v>
      </c>
      <c r="I85" s="61">
        <f ca="1">SUM(FN!D85)</f>
        <v>0</v>
      </c>
      <c r="J85" s="61">
        <f ca="1">SUM(FN!E85)</f>
        <v>0</v>
      </c>
      <c r="K85" s="61">
        <f ca="1">SUM(FN!F85)</f>
        <v>0</v>
      </c>
      <c r="L85" s="61">
        <f ca="1">SUM(FN!G85)</f>
        <v>0</v>
      </c>
      <c r="M85" s="61">
        <f ca="1">SUM(FN!H85)</f>
        <v>0</v>
      </c>
      <c r="N85" s="61">
        <f ca="1">SUM('AC-SVC'!H85)</f>
        <v>0</v>
      </c>
      <c r="O85" s="61">
        <f ca="1">SUM(FS!C85)</f>
        <v>0</v>
      </c>
      <c r="P85" s="61">
        <f ca="1">SUM('AC-SVC'!C85)</f>
        <v>0</v>
      </c>
      <c r="Q85" s="61">
        <f ca="1">SUM(HR!C85)</f>
        <v>0</v>
      </c>
      <c r="R85" s="61">
        <f ca="1">SUM(IT!C85)</f>
        <v>0</v>
      </c>
      <c r="S85" s="39"/>
      <c r="T85" s="67">
        <f>SUM(C85:R85)</f>
        <v>0</v>
      </c>
    </row>
    <row r="86" spans="1:20">
      <c r="A86" s="10" t="s">
        <v>487</v>
      </c>
      <c r="B86" s="10" t="s">
        <v>441</v>
      </c>
      <c r="C86" s="39">
        <v>10000</v>
      </c>
      <c r="D86" s="61">
        <f ca="1">SUM(DID!C86)</f>
        <v>0</v>
      </c>
      <c r="E86" s="61">
        <f ca="1">SUM(DID!D86)</f>
        <v>0</v>
      </c>
      <c r="F86" s="61">
        <f ca="1">SUM(DID!E86)</f>
        <v>0</v>
      </c>
      <c r="G86" s="61">
        <f ca="1">SUM(FC!C86)</f>
        <v>0</v>
      </c>
      <c r="H86" s="61">
        <f ca="1">SUM(FN!C86)</f>
        <v>1500</v>
      </c>
      <c r="I86" s="61">
        <f ca="1">SUM(FN!D86)</f>
        <v>0</v>
      </c>
      <c r="J86" s="61">
        <f ca="1">SUM(FN!E86)</f>
        <v>0</v>
      </c>
      <c r="K86" s="61">
        <f ca="1">SUM(FN!F86)</f>
        <v>0</v>
      </c>
      <c r="L86" s="61">
        <f ca="1">SUM(FN!G86)</f>
        <v>750</v>
      </c>
      <c r="M86" s="61">
        <f ca="1">SUM(FN!H86)</f>
        <v>750</v>
      </c>
      <c r="N86" s="61">
        <f ca="1">SUM('AC-SVC'!H86)</f>
        <v>0</v>
      </c>
      <c r="O86" s="61">
        <f ca="1">SUM(FS!C86)</f>
        <v>0</v>
      </c>
      <c r="P86" s="61">
        <f ca="1">SUM('AC-SVC'!C86)</f>
        <v>0</v>
      </c>
      <c r="Q86" s="61">
        <f ca="1">SUM(HR!C86)</f>
        <v>4000</v>
      </c>
      <c r="R86" s="61">
        <f ca="1">SUM(IT!C86)</f>
        <v>0</v>
      </c>
      <c r="S86" s="39"/>
      <c r="T86" s="67">
        <f>SUM(C86:R86)</f>
        <v>17000</v>
      </c>
    </row>
    <row r="87" spans="1:20">
      <c r="A87" s="10" t="s">
        <v>22</v>
      </c>
      <c r="B87" s="10" t="s">
        <v>23</v>
      </c>
      <c r="C87" s="40"/>
      <c r="D87" s="40">
        <f ca="1">SUM(DID!C87)</f>
        <v>0</v>
      </c>
      <c r="E87" s="40">
        <f ca="1">SUM(DID!D87)</f>
        <v>0</v>
      </c>
      <c r="F87" s="40">
        <f ca="1">SUM(DID!E87)</f>
        <v>0</v>
      </c>
      <c r="G87" s="40">
        <f ca="1">SUM(FC!C87)</f>
        <v>0</v>
      </c>
      <c r="H87" s="40">
        <f ca="1">SUM(FN!C87)</f>
        <v>0</v>
      </c>
      <c r="I87" s="40">
        <f ca="1">SUM(FN!D87)</f>
        <v>0</v>
      </c>
      <c r="J87" s="40">
        <f ca="1">SUM(FN!E87)</f>
        <v>0</v>
      </c>
      <c r="K87" s="40">
        <f ca="1">SUM(FN!F87)</f>
        <v>0</v>
      </c>
      <c r="L87" s="40">
        <f ca="1">SUM(FN!G87)</f>
        <v>0</v>
      </c>
      <c r="M87" s="40">
        <f ca="1">SUM(FN!H87)</f>
        <v>0</v>
      </c>
      <c r="N87" s="40">
        <f ca="1">SUM('AC-SVC'!H87)</f>
        <v>0</v>
      </c>
      <c r="O87" s="40">
        <f ca="1">SUM(FS!C87)</f>
        <v>0</v>
      </c>
      <c r="P87" s="40">
        <f ca="1">SUM('AC-SVC'!C87)</f>
        <v>0</v>
      </c>
      <c r="Q87" s="40">
        <f ca="1">SUM(HR!C87)</f>
        <v>0</v>
      </c>
      <c r="R87" s="40">
        <f ca="1">SUM(IT!C87)</f>
        <v>0</v>
      </c>
      <c r="S87" s="39"/>
      <c r="T87" s="66">
        <f>SUM(C87:R87)</f>
        <v>0</v>
      </c>
    </row>
    <row r="88" spans="1:20">
      <c r="B88" s="10" t="s">
        <v>326</v>
      </c>
      <c r="C88" s="39">
        <f>SUM(C84:C87)</f>
        <v>10000</v>
      </c>
      <c r="D88" s="39">
        <f t="shared" ref="D88:R88" si="9">SUM(D84:D87)</f>
        <v>0</v>
      </c>
      <c r="E88" s="39">
        <f t="shared" si="9"/>
        <v>0</v>
      </c>
      <c r="F88" s="39">
        <f t="shared" si="9"/>
        <v>0</v>
      </c>
      <c r="G88" s="39">
        <f t="shared" si="9"/>
        <v>0</v>
      </c>
      <c r="H88" s="39">
        <f t="shared" si="9"/>
        <v>1500</v>
      </c>
      <c r="I88" s="39">
        <f t="shared" si="9"/>
        <v>0</v>
      </c>
      <c r="J88" s="39">
        <f t="shared" si="9"/>
        <v>0</v>
      </c>
      <c r="K88" s="39">
        <f>SUM(K84:K87)</f>
        <v>0</v>
      </c>
      <c r="L88" s="39">
        <f>SUM(L84:L87)</f>
        <v>750</v>
      </c>
      <c r="M88" s="39">
        <f>SUM(M84:M87)</f>
        <v>750</v>
      </c>
      <c r="N88" s="39">
        <f>+SUM(N84:N87)</f>
        <v>0</v>
      </c>
      <c r="O88" s="39">
        <f t="shared" si="9"/>
        <v>0</v>
      </c>
      <c r="P88" s="39">
        <f>SUM(P84:P87)</f>
        <v>0</v>
      </c>
      <c r="Q88" s="39">
        <f t="shared" si="9"/>
        <v>4000</v>
      </c>
      <c r="R88" s="39">
        <f t="shared" si="9"/>
        <v>0</v>
      </c>
      <c r="S88" s="39"/>
      <c r="T88" s="57">
        <f>SUM(T84:T87)</f>
        <v>17000</v>
      </c>
    </row>
    <row r="89" spans="1:20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57"/>
    </row>
    <row r="90" spans="1:20">
      <c r="B90" s="10" t="s">
        <v>327</v>
      </c>
      <c r="C90" s="39">
        <f>SUM(C80+C88)</f>
        <v>187497.5756687604</v>
      </c>
      <c r="D90" s="39">
        <f t="shared" ref="D90:R90" si="10">SUM(D80+D88)</f>
        <v>61201.951915331323</v>
      </c>
      <c r="E90" s="39">
        <f t="shared" si="10"/>
        <v>52793.341343622007</v>
      </c>
      <c r="F90" s="39">
        <f t="shared" si="10"/>
        <v>42313.503711949998</v>
      </c>
      <c r="G90" s="39">
        <f t="shared" si="10"/>
        <v>60395.602087724852</v>
      </c>
      <c r="H90" s="39">
        <f t="shared" si="10"/>
        <v>70638.956000000006</v>
      </c>
      <c r="I90" s="39">
        <f t="shared" si="10"/>
        <v>67460.123697710485</v>
      </c>
      <c r="J90" s="39">
        <f t="shared" si="10"/>
        <v>66069.350000000006</v>
      </c>
      <c r="K90" s="39">
        <f>SUM(K80+K88)</f>
        <v>42341.641432199998</v>
      </c>
      <c r="L90" s="39">
        <f>SUM(L80+L88)</f>
        <v>27530</v>
      </c>
      <c r="M90" s="39">
        <f>SUM(M80+M88)</f>
        <v>29811.45</v>
      </c>
      <c r="N90" s="39">
        <f>SUM(N80+N88)</f>
        <v>5500</v>
      </c>
      <c r="O90" s="39">
        <f t="shared" si="10"/>
        <v>50913.770138623076</v>
      </c>
      <c r="P90" s="39">
        <f>SUM(P80+P88)</f>
        <v>6396.2828622516581</v>
      </c>
      <c r="Q90" s="39">
        <f t="shared" si="10"/>
        <v>100650.60399405606</v>
      </c>
      <c r="R90" s="39">
        <f t="shared" si="10"/>
        <v>4361.1890675165996</v>
      </c>
      <c r="S90" s="39"/>
      <c r="T90" s="41">
        <f>+T80+T88</f>
        <v>875875.34191974648</v>
      </c>
    </row>
    <row r="91" spans="1:20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57"/>
    </row>
    <row r="92" spans="1:20">
      <c r="A92" s="10" t="s">
        <v>328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57"/>
    </row>
    <row r="93" spans="1:20">
      <c r="A93" s="10" t="s">
        <v>25</v>
      </c>
      <c r="B93" s="10" t="s">
        <v>33</v>
      </c>
      <c r="C93" s="39">
        <f t="shared" ref="C93:R93" si="11">+C$7*139.64*2*1.05*12</f>
        <v>7037.8559999999998</v>
      </c>
      <c r="D93" s="39">
        <f t="shared" si="11"/>
        <v>3518.9279999999999</v>
      </c>
      <c r="E93" s="39">
        <f t="shared" si="11"/>
        <v>3518.9279999999999</v>
      </c>
      <c r="F93" s="39">
        <f t="shared" si="11"/>
        <v>3518.9279999999999</v>
      </c>
      <c r="G93" s="39">
        <f t="shared" si="11"/>
        <v>3518.9279999999999</v>
      </c>
      <c r="H93" s="39">
        <f t="shared" si="11"/>
        <v>7037.8559999999998</v>
      </c>
      <c r="I93" s="39">
        <f t="shared" si="11"/>
        <v>7037.8559999999998</v>
      </c>
      <c r="J93" s="39">
        <f t="shared" si="11"/>
        <v>3518.9279999999999</v>
      </c>
      <c r="K93" s="39">
        <f t="shared" si="11"/>
        <v>3518.9279999999999</v>
      </c>
      <c r="L93" s="39">
        <f t="shared" si="11"/>
        <v>3518.9279999999999</v>
      </c>
      <c r="M93" s="39">
        <f t="shared" si="11"/>
        <v>3518.9279999999999</v>
      </c>
      <c r="N93" s="39">
        <f t="shared" si="11"/>
        <v>351.89279999999997</v>
      </c>
      <c r="O93" s="39">
        <f t="shared" si="11"/>
        <v>3518.9279999999999</v>
      </c>
      <c r="P93" s="39">
        <f t="shared" si="11"/>
        <v>351.89279999999997</v>
      </c>
      <c r="Q93" s="39">
        <f t="shared" si="11"/>
        <v>7037.8559999999998</v>
      </c>
      <c r="R93" s="39">
        <f t="shared" si="11"/>
        <v>351.89279999999997</v>
      </c>
      <c r="S93" s="39"/>
      <c r="T93" s="67">
        <f t="shared" ref="T93:T101" si="12">SUM(C93:R93)</f>
        <v>60877.454400000002</v>
      </c>
    </row>
    <row r="94" spans="1:20">
      <c r="A94" s="10" t="s">
        <v>26</v>
      </c>
      <c r="B94" s="10" t="s">
        <v>34</v>
      </c>
      <c r="C94" s="39">
        <f t="shared" ref="C94:M94" si="13">+C$7*8.74*2*1.02*12</f>
        <v>427.91039999999998</v>
      </c>
      <c r="D94" s="39">
        <f t="shared" si="13"/>
        <v>213.95519999999999</v>
      </c>
      <c r="E94" s="39">
        <f t="shared" si="13"/>
        <v>213.95519999999999</v>
      </c>
      <c r="F94" s="39">
        <f t="shared" si="13"/>
        <v>213.95519999999999</v>
      </c>
      <c r="G94" s="39">
        <f t="shared" si="13"/>
        <v>213.95519999999999</v>
      </c>
      <c r="H94" s="39">
        <f t="shared" si="13"/>
        <v>427.91039999999998</v>
      </c>
      <c r="I94" s="39">
        <f t="shared" si="13"/>
        <v>427.91039999999998</v>
      </c>
      <c r="J94" s="39">
        <f t="shared" si="13"/>
        <v>213.95519999999999</v>
      </c>
      <c r="K94" s="39">
        <f t="shared" si="13"/>
        <v>213.95519999999999</v>
      </c>
      <c r="L94" s="39">
        <f t="shared" si="13"/>
        <v>213.95519999999999</v>
      </c>
      <c r="M94" s="39">
        <f t="shared" si="13"/>
        <v>213.95519999999999</v>
      </c>
      <c r="N94" s="39">
        <f>+N$7*8.74*2*1.02*12*0.67</f>
        <v>14.334998400000003</v>
      </c>
      <c r="O94" s="39">
        <f>+O$7*8.74*2*1.02*12</f>
        <v>213.95519999999999</v>
      </c>
      <c r="P94" s="39">
        <f>+P$7*8.74*2*1.02*12</f>
        <v>21.395520000000005</v>
      </c>
      <c r="Q94" s="39">
        <f>+Q$7*8.74*2*1.02*12</f>
        <v>427.91039999999998</v>
      </c>
      <c r="R94" s="39">
        <f>+R$7*8.74*2*1.02*12</f>
        <v>21.395520000000005</v>
      </c>
      <c r="S94" s="39"/>
      <c r="T94" s="67">
        <f t="shared" si="12"/>
        <v>3694.364438399999</v>
      </c>
    </row>
    <row r="95" spans="1:20">
      <c r="A95" s="10" t="s">
        <v>28</v>
      </c>
      <c r="B95" s="10" t="s">
        <v>27</v>
      </c>
      <c r="C95" s="39">
        <f t="shared" ref="C95:R95" si="14">(+C$88-C$84+C$80)*0.062</f>
        <v>11624.849691463145</v>
      </c>
      <c r="D95" s="39">
        <f t="shared" si="14"/>
        <v>3794.5210187505422</v>
      </c>
      <c r="E95" s="39">
        <f t="shared" si="14"/>
        <v>3273.1871633045644</v>
      </c>
      <c r="F95" s="39">
        <f t="shared" si="14"/>
        <v>2623.4372301408998</v>
      </c>
      <c r="G95" s="39">
        <f t="shared" si="14"/>
        <v>3744.5273294389408</v>
      </c>
      <c r="H95" s="39">
        <f t="shared" si="14"/>
        <v>4379.615272</v>
      </c>
      <c r="I95" s="39">
        <f t="shared" si="14"/>
        <v>4182.5276692580501</v>
      </c>
      <c r="J95" s="39">
        <f t="shared" si="14"/>
        <v>4096.2997000000005</v>
      </c>
      <c r="K95" s="39">
        <f t="shared" si="14"/>
        <v>2625.1817687963999</v>
      </c>
      <c r="L95" s="39">
        <f t="shared" si="14"/>
        <v>1706.86</v>
      </c>
      <c r="M95" s="39">
        <f t="shared" si="14"/>
        <v>1848.3099</v>
      </c>
      <c r="N95" s="39">
        <f t="shared" si="14"/>
        <v>341</v>
      </c>
      <c r="O95" s="39">
        <f t="shared" si="14"/>
        <v>3156.6537485946305</v>
      </c>
      <c r="P95" s="39">
        <f t="shared" si="14"/>
        <v>396.56953745960283</v>
      </c>
      <c r="Q95" s="39">
        <f t="shared" si="14"/>
        <v>6240.3374476314757</v>
      </c>
      <c r="R95" s="39">
        <f t="shared" si="14"/>
        <v>270.39372218602915</v>
      </c>
      <c r="S95" s="39"/>
      <c r="T95" s="67">
        <f t="shared" si="12"/>
        <v>54304.27119902429</v>
      </c>
    </row>
    <row r="96" spans="1:20">
      <c r="A96" s="10" t="s">
        <v>30</v>
      </c>
      <c r="B96" s="10" t="s">
        <v>29</v>
      </c>
      <c r="C96" s="39">
        <f t="shared" ref="C96:R96" si="15">(+C$88-C$84+C$80)*0.0145</f>
        <v>2718.7148471970258</v>
      </c>
      <c r="D96" s="39">
        <f t="shared" si="15"/>
        <v>887.42830277230428</v>
      </c>
      <c r="E96" s="39">
        <f t="shared" si="15"/>
        <v>765.50344948251916</v>
      </c>
      <c r="F96" s="39">
        <f t="shared" si="15"/>
        <v>613.54580382327504</v>
      </c>
      <c r="G96" s="39">
        <f t="shared" si="15"/>
        <v>875.7362302720104</v>
      </c>
      <c r="H96" s="39">
        <f t="shared" si="15"/>
        <v>1024.2648620000002</v>
      </c>
      <c r="I96" s="39">
        <f t="shared" si="15"/>
        <v>978.17179361680212</v>
      </c>
      <c r="J96" s="39">
        <f t="shared" si="15"/>
        <v>958.00557500000014</v>
      </c>
      <c r="K96" s="39">
        <f t="shared" si="15"/>
        <v>613.95380076690003</v>
      </c>
      <c r="L96" s="39">
        <f t="shared" si="15"/>
        <v>399.185</v>
      </c>
      <c r="M96" s="39">
        <f t="shared" si="15"/>
        <v>432.26602500000001</v>
      </c>
      <c r="N96" s="39">
        <f t="shared" si="15"/>
        <v>79.75</v>
      </c>
      <c r="O96" s="39">
        <f t="shared" si="15"/>
        <v>738.24966701003461</v>
      </c>
      <c r="P96" s="39">
        <f t="shared" si="15"/>
        <v>92.746101502649054</v>
      </c>
      <c r="Q96" s="39">
        <f t="shared" si="15"/>
        <v>1459.433757913813</v>
      </c>
      <c r="R96" s="39">
        <f t="shared" si="15"/>
        <v>63.237241478990697</v>
      </c>
      <c r="S96" s="39"/>
      <c r="T96" s="67">
        <f t="shared" si="12"/>
        <v>12700.192457836329</v>
      </c>
    </row>
    <row r="97" spans="1:20">
      <c r="A97" s="10" t="s">
        <v>31</v>
      </c>
      <c r="B97" s="10" t="s">
        <v>32</v>
      </c>
      <c r="C97" s="39">
        <f t="shared" ref="C97:M97" si="16">(+C$88-C$84+C$80)*0.06</f>
        <v>11249.854540125623</v>
      </c>
      <c r="D97" s="39">
        <f t="shared" si="16"/>
        <v>3672.1171149198794</v>
      </c>
      <c r="E97" s="39">
        <f t="shared" si="16"/>
        <v>3167.6004806173205</v>
      </c>
      <c r="F97" s="39">
        <f t="shared" si="16"/>
        <v>2538.8102227169998</v>
      </c>
      <c r="G97" s="39">
        <f t="shared" si="16"/>
        <v>3623.736125263491</v>
      </c>
      <c r="H97" s="39">
        <f t="shared" si="16"/>
        <v>4238.3373600000004</v>
      </c>
      <c r="I97" s="39">
        <f t="shared" si="16"/>
        <v>4047.6074218626291</v>
      </c>
      <c r="J97" s="39">
        <f t="shared" si="16"/>
        <v>3964.1610000000001</v>
      </c>
      <c r="K97" s="39">
        <f t="shared" si="16"/>
        <v>2540.4984859319998</v>
      </c>
      <c r="L97" s="39">
        <f t="shared" si="16"/>
        <v>1651.8</v>
      </c>
      <c r="M97" s="39">
        <f t="shared" si="16"/>
        <v>1788.6869999999999</v>
      </c>
      <c r="N97" s="39">
        <f>(+N$88-N$84+N$80)*0.06*0.65</f>
        <v>214.5</v>
      </c>
      <c r="O97" s="39">
        <f>(+O$88-O$84+O$80)*0.06</f>
        <v>3054.8262083173845</v>
      </c>
      <c r="P97" s="39">
        <f>(+P$88-P$84+P$80)*0.06</f>
        <v>383.77697173509949</v>
      </c>
      <c r="Q97" s="39">
        <f>(+Q$88-Q$84+Q$80)*0.06</f>
        <v>6039.0362396433629</v>
      </c>
      <c r="R97" s="39">
        <f>(+R$88-R$84+R$80)*0.06</f>
        <v>261.67134405099597</v>
      </c>
      <c r="S97" s="39"/>
      <c r="T97" s="67">
        <f t="shared" si="12"/>
        <v>52437.020515184791</v>
      </c>
    </row>
    <row r="98" spans="1:20">
      <c r="A98" s="10" t="s">
        <v>36</v>
      </c>
      <c r="B98" s="10" t="s">
        <v>35</v>
      </c>
      <c r="C98" s="39">
        <f t="shared" ref="C98:R98" si="17">(+C$88-C$84+C$80)*0.0056</f>
        <v>1049.9864237450583</v>
      </c>
      <c r="D98" s="39">
        <f t="shared" si="17"/>
        <v>342.73093072585539</v>
      </c>
      <c r="E98" s="39">
        <f t="shared" si="17"/>
        <v>295.64271152428324</v>
      </c>
      <c r="F98" s="39">
        <f t="shared" si="17"/>
        <v>236.95562078691998</v>
      </c>
      <c r="G98" s="39">
        <f t="shared" si="17"/>
        <v>338.21537169125918</v>
      </c>
      <c r="H98" s="39">
        <f t="shared" si="17"/>
        <v>395.57815360000001</v>
      </c>
      <c r="I98" s="39">
        <f t="shared" si="17"/>
        <v>377.77669270717871</v>
      </c>
      <c r="J98" s="39">
        <f t="shared" si="17"/>
        <v>369.98836000000006</v>
      </c>
      <c r="K98" s="39">
        <f t="shared" si="17"/>
        <v>237.11319202031999</v>
      </c>
      <c r="L98" s="39">
        <f t="shared" si="17"/>
        <v>154.16800000000001</v>
      </c>
      <c r="M98" s="39">
        <f t="shared" si="17"/>
        <v>166.94412</v>
      </c>
      <c r="N98" s="39">
        <f t="shared" si="17"/>
        <v>30.8</v>
      </c>
      <c r="O98" s="39">
        <f t="shared" si="17"/>
        <v>285.11711277628922</v>
      </c>
      <c r="P98" s="39">
        <f t="shared" si="17"/>
        <v>35.819184028609286</v>
      </c>
      <c r="Q98" s="39">
        <f t="shared" si="17"/>
        <v>563.64338236671392</v>
      </c>
      <c r="R98" s="39">
        <f t="shared" si="17"/>
        <v>24.422658778092959</v>
      </c>
      <c r="S98" s="39"/>
      <c r="T98" s="67">
        <f t="shared" si="12"/>
        <v>4904.9019147505805</v>
      </c>
    </row>
    <row r="99" spans="1:20">
      <c r="A99" s="10" t="s">
        <v>38</v>
      </c>
      <c r="B99" s="10" t="s">
        <v>37</v>
      </c>
      <c r="C99" s="39">
        <f t="shared" ref="C99:R99" si="18">+C$7*7700*0.0201</f>
        <v>309.54000000000002</v>
      </c>
      <c r="D99" s="39">
        <f t="shared" si="18"/>
        <v>154.77000000000001</v>
      </c>
      <c r="E99" s="39">
        <f t="shared" si="18"/>
        <v>154.77000000000001</v>
      </c>
      <c r="F99" s="39">
        <f t="shared" si="18"/>
        <v>154.77000000000001</v>
      </c>
      <c r="G99" s="39">
        <f t="shared" si="18"/>
        <v>154.77000000000001</v>
      </c>
      <c r="H99" s="39">
        <f t="shared" si="18"/>
        <v>309.54000000000002</v>
      </c>
      <c r="I99" s="39">
        <f t="shared" si="18"/>
        <v>309.54000000000002</v>
      </c>
      <c r="J99" s="39">
        <f t="shared" si="18"/>
        <v>154.77000000000001</v>
      </c>
      <c r="K99" s="39">
        <f t="shared" si="18"/>
        <v>154.77000000000001</v>
      </c>
      <c r="L99" s="39">
        <f t="shared" si="18"/>
        <v>154.77000000000001</v>
      </c>
      <c r="M99" s="39">
        <f t="shared" si="18"/>
        <v>154.77000000000001</v>
      </c>
      <c r="N99" s="39">
        <f t="shared" si="18"/>
        <v>15.477</v>
      </c>
      <c r="O99" s="39">
        <f t="shared" si="18"/>
        <v>154.77000000000001</v>
      </c>
      <c r="P99" s="39">
        <f t="shared" si="18"/>
        <v>15.477</v>
      </c>
      <c r="Q99" s="39">
        <f t="shared" si="18"/>
        <v>309.54000000000002</v>
      </c>
      <c r="R99" s="39">
        <f t="shared" si="18"/>
        <v>15.477</v>
      </c>
      <c r="S99" s="39"/>
      <c r="T99" s="67">
        <f t="shared" si="12"/>
        <v>2677.5209999999997</v>
      </c>
    </row>
    <row r="100" spans="1:20">
      <c r="A100" s="10" t="s">
        <v>83</v>
      </c>
      <c r="B100" s="10" t="s">
        <v>84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>
        <v>0</v>
      </c>
      <c r="Q100" s="39">
        <v>1200</v>
      </c>
      <c r="R100" s="39"/>
      <c r="S100" s="39"/>
      <c r="T100" s="67">
        <f t="shared" si="12"/>
        <v>1200</v>
      </c>
    </row>
    <row r="101" spans="1:20">
      <c r="A101" s="10" t="s">
        <v>39</v>
      </c>
      <c r="B101" s="10" t="s">
        <v>40</v>
      </c>
      <c r="C101" s="40">
        <f t="shared" ref="C101:R101" si="19">(+C$88-C$84+C$80)*(0.0024+0.0036+0.0013)</f>
        <v>1368.7323023819508</v>
      </c>
      <c r="D101" s="40">
        <f t="shared" si="19"/>
        <v>446.77424898191867</v>
      </c>
      <c r="E101" s="40">
        <f t="shared" si="19"/>
        <v>385.39139180844063</v>
      </c>
      <c r="F101" s="40">
        <f t="shared" si="19"/>
        <v>308.88857709723499</v>
      </c>
      <c r="G101" s="40">
        <f t="shared" si="19"/>
        <v>440.8878952403914</v>
      </c>
      <c r="H101" s="40">
        <f t="shared" si="19"/>
        <v>515.66437880000001</v>
      </c>
      <c r="I101" s="40">
        <f t="shared" si="19"/>
        <v>492.45890299328653</v>
      </c>
      <c r="J101" s="40">
        <f t="shared" si="19"/>
        <v>482.30625500000002</v>
      </c>
      <c r="K101" s="40">
        <f t="shared" si="19"/>
        <v>309.09398245505997</v>
      </c>
      <c r="L101" s="40">
        <f t="shared" si="19"/>
        <v>200.96899999999999</v>
      </c>
      <c r="M101" s="40">
        <f t="shared" si="19"/>
        <v>217.62358500000002</v>
      </c>
      <c r="N101" s="40">
        <f t="shared" si="19"/>
        <v>40.15</v>
      </c>
      <c r="O101" s="40">
        <f t="shared" si="19"/>
        <v>371.67052201194844</v>
      </c>
      <c r="P101" s="40">
        <f t="shared" si="19"/>
        <v>46.692864894437108</v>
      </c>
      <c r="Q101" s="40">
        <f t="shared" si="19"/>
        <v>734.7494091566092</v>
      </c>
      <c r="R101" s="40">
        <f t="shared" si="19"/>
        <v>31.836680192871178</v>
      </c>
      <c r="S101" s="39"/>
      <c r="T101" s="66">
        <f t="shared" si="12"/>
        <v>6393.8899960141498</v>
      </c>
    </row>
    <row r="102" spans="1:20">
      <c r="B102" s="10" t="s">
        <v>235</v>
      </c>
      <c r="C102" s="39">
        <f>SUM(C93:C101)</f>
        <v>35787.444204912797</v>
      </c>
      <c r="D102" s="39">
        <f t="shared" ref="D102:R102" si="20">SUM(D93:D101)</f>
        <v>13031.224816150501</v>
      </c>
      <c r="E102" s="39">
        <f t="shared" si="20"/>
        <v>11774.97839673713</v>
      </c>
      <c r="F102" s="39">
        <f t="shared" si="20"/>
        <v>10209.29065456533</v>
      </c>
      <c r="G102" s="39">
        <f t="shared" si="20"/>
        <v>12910.756151906095</v>
      </c>
      <c r="H102" s="39">
        <f t="shared" si="20"/>
        <v>18328.766426400001</v>
      </c>
      <c r="I102" s="39">
        <f t="shared" si="20"/>
        <v>17853.848880437949</v>
      </c>
      <c r="J102" s="39">
        <f t="shared" si="20"/>
        <v>13758.414089999998</v>
      </c>
      <c r="K102" s="39">
        <f>SUM(K93:K101)</f>
        <v>10213.49442997068</v>
      </c>
      <c r="L102" s="39">
        <f>SUM(L93:L101)</f>
        <v>8000.6352000000006</v>
      </c>
      <c r="M102" s="39">
        <f>SUM(M93:M101)</f>
        <v>8341.4838299999992</v>
      </c>
      <c r="N102" s="39">
        <f>SUM(N93:N101)</f>
        <v>1087.9047984000001</v>
      </c>
      <c r="O102" s="39">
        <f t="shared" si="20"/>
        <v>11494.170458710289</v>
      </c>
      <c r="P102" s="39">
        <f>SUM(P93:P101)</f>
        <v>1344.369979620398</v>
      </c>
      <c r="Q102" s="39">
        <f t="shared" si="20"/>
        <v>24012.506636711973</v>
      </c>
      <c r="R102" s="39">
        <f t="shared" si="20"/>
        <v>1040.3269666869796</v>
      </c>
      <c r="S102" s="39"/>
      <c r="T102" s="57">
        <f>SUM(T93:T101)</f>
        <v>199189.61592121015</v>
      </c>
    </row>
    <row r="103" spans="1:20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57"/>
    </row>
    <row r="104" spans="1:20" s="4" customFormat="1" ht="10.5">
      <c r="A104" s="14"/>
      <c r="B104" s="14" t="s">
        <v>236</v>
      </c>
      <c r="C104" s="41">
        <f>SUM(C90+C102)</f>
        <v>223285.01987367321</v>
      </c>
      <c r="D104" s="41">
        <f t="shared" ref="D104:R104" si="21">SUM(D90+D102)</f>
        <v>74233.176731481828</v>
      </c>
      <c r="E104" s="41">
        <f t="shared" si="21"/>
        <v>64568.319740359133</v>
      </c>
      <c r="F104" s="41">
        <f t="shared" si="21"/>
        <v>52522.794366515329</v>
      </c>
      <c r="G104" s="41">
        <f t="shared" si="21"/>
        <v>73306.35823963095</v>
      </c>
      <c r="H104" s="41">
        <f t="shared" si="21"/>
        <v>88967.722426400011</v>
      </c>
      <c r="I104" s="41">
        <f t="shared" si="21"/>
        <v>85313.97257814843</v>
      </c>
      <c r="J104" s="41">
        <f t="shared" si="21"/>
        <v>79827.764090000011</v>
      </c>
      <c r="K104" s="41">
        <f>SUM(K90+K102)</f>
        <v>52555.135862170675</v>
      </c>
      <c r="L104" s="41">
        <f>SUM(L90+L102)</f>
        <v>35530.635200000004</v>
      </c>
      <c r="M104" s="41">
        <f>SUM(M90+M102)</f>
        <v>38152.933830000002</v>
      </c>
      <c r="N104" s="41">
        <f t="shared" si="21"/>
        <v>6587.9047983999999</v>
      </c>
      <c r="O104" s="41">
        <f t="shared" si="21"/>
        <v>62407.940597333363</v>
      </c>
      <c r="P104" s="41">
        <f>SUM(P90+P102)</f>
        <v>7740.6528418720563</v>
      </c>
      <c r="Q104" s="41">
        <f t="shared" si="21"/>
        <v>124663.11063076803</v>
      </c>
      <c r="R104" s="41">
        <f t="shared" si="21"/>
        <v>5401.5160342035797</v>
      </c>
      <c r="S104" s="41"/>
      <c r="T104" s="41">
        <f>+T90+T102</f>
        <v>1075064.9578409567</v>
      </c>
    </row>
    <row r="105" spans="1:20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57"/>
    </row>
    <row r="106" spans="1:20">
      <c r="A106" s="10" t="s">
        <v>237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57"/>
    </row>
    <row r="107" spans="1:20">
      <c r="A107" s="10" t="s">
        <v>238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57"/>
    </row>
    <row r="108" spans="1:20">
      <c r="A108" s="10" t="s">
        <v>51</v>
      </c>
      <c r="B108" s="10" t="s">
        <v>50</v>
      </c>
      <c r="C108" s="39">
        <v>10500</v>
      </c>
      <c r="D108" s="61">
        <f ca="1">SUM(DID!C108)</f>
        <v>0</v>
      </c>
      <c r="E108" s="61">
        <f ca="1">SUM(DID!D108)</f>
        <v>0</v>
      </c>
      <c r="F108" s="61">
        <f ca="1">SUM(DID!E108)</f>
        <v>0</v>
      </c>
      <c r="G108" s="61">
        <f ca="1">SUM(FC!C108)</f>
        <v>0</v>
      </c>
      <c r="H108" s="61">
        <f ca="1">SUM(FN!C108)</f>
        <v>0</v>
      </c>
      <c r="I108" s="61">
        <f ca="1">SUM(FN!D108)</f>
        <v>12500</v>
      </c>
      <c r="J108" s="61">
        <f ca="1">SUM(FN!E108)</f>
        <v>0</v>
      </c>
      <c r="K108" s="61">
        <f ca="1">SUM(FN!F108)</f>
        <v>0</v>
      </c>
      <c r="L108" s="61">
        <f ca="1">SUM(FN!G108)</f>
        <v>0</v>
      </c>
      <c r="M108" s="61">
        <f ca="1">SUM(FN!H108)</f>
        <v>0</v>
      </c>
      <c r="N108" s="61">
        <f ca="1">SUM('AC-SVC'!H108)</f>
        <v>0</v>
      </c>
      <c r="O108" s="61">
        <f ca="1">SUM(FS!C108)</f>
        <v>0</v>
      </c>
      <c r="P108" s="61">
        <f ca="1">SUM('AC-SVC'!C108)</f>
        <v>0</v>
      </c>
      <c r="Q108" s="61">
        <f ca="1">SUM(HR!C108)</f>
        <v>0</v>
      </c>
      <c r="R108" s="61">
        <f ca="1">SUM(IT!C108)</f>
        <v>12037.5</v>
      </c>
      <c r="S108" s="39"/>
      <c r="T108" s="67">
        <f t="shared" ref="T108:T121" si="22">SUM(C108:R108)</f>
        <v>35037.5</v>
      </c>
    </row>
    <row r="109" spans="1:20">
      <c r="A109" s="10" t="s">
        <v>41</v>
      </c>
      <c r="B109" s="10" t="s">
        <v>42</v>
      </c>
      <c r="C109" s="39"/>
      <c r="D109" s="61">
        <f ca="1">SUM(DID!C109)</f>
        <v>0</v>
      </c>
      <c r="E109" s="61">
        <f ca="1">SUM(DID!D109)</f>
        <v>0</v>
      </c>
      <c r="F109" s="61">
        <f ca="1">SUM(DID!E109)</f>
        <v>0</v>
      </c>
      <c r="G109" s="61">
        <f ca="1">SUM(FC!C109)</f>
        <v>0</v>
      </c>
      <c r="H109" s="61">
        <f ca="1">SUM(FN!C109)</f>
        <v>0</v>
      </c>
      <c r="I109" s="61">
        <f ca="1">SUM(FN!D109)</f>
        <v>0</v>
      </c>
      <c r="J109" s="61">
        <f ca="1">SUM(FN!E109)</f>
        <v>0</v>
      </c>
      <c r="K109" s="61">
        <f ca="1">SUM(FN!F109)</f>
        <v>0</v>
      </c>
      <c r="L109" s="61">
        <f ca="1">SUM(FN!G109)</f>
        <v>0</v>
      </c>
      <c r="M109" s="61">
        <f ca="1">SUM(FN!H109)</f>
        <v>0</v>
      </c>
      <c r="N109" s="61">
        <f ca="1">SUM('AC-SVC'!H109)</f>
        <v>0</v>
      </c>
      <c r="O109" s="61">
        <f ca="1">SUM(FS!C109)</f>
        <v>0</v>
      </c>
      <c r="P109" s="61">
        <f ca="1">SUM('AC-SVC'!C109)*P7</f>
        <v>750</v>
      </c>
      <c r="Q109" s="61">
        <f ca="1">SUM(HR!C109)</f>
        <v>0</v>
      </c>
      <c r="R109" s="61">
        <f ca="1">SUM(IT!C109)</f>
        <v>0</v>
      </c>
      <c r="S109" s="39"/>
      <c r="T109" s="67">
        <f t="shared" si="22"/>
        <v>750</v>
      </c>
    </row>
    <row r="110" spans="1:20">
      <c r="A110" s="10" t="s">
        <v>43</v>
      </c>
      <c r="B110" s="10" t="s">
        <v>239</v>
      </c>
      <c r="C110" s="39">
        <v>30000</v>
      </c>
      <c r="D110" s="61">
        <f ca="1">SUM(DID!C110)</f>
        <v>1000</v>
      </c>
      <c r="E110" s="61">
        <f ca="1">SUM(DID!D110)</f>
        <v>1000</v>
      </c>
      <c r="F110" s="61">
        <f ca="1">SUM(DID!E110)</f>
        <v>1000</v>
      </c>
      <c r="G110" s="61">
        <f ca="1">SUM(FC!C110)</f>
        <v>1000</v>
      </c>
      <c r="H110" s="61">
        <f ca="1">SUM(FN!C110)</f>
        <v>2250</v>
      </c>
      <c r="I110" s="61">
        <f ca="1">SUM(FN!D110)</f>
        <v>2500</v>
      </c>
      <c r="J110" s="61">
        <f ca="1">SUM(FN!E110)</f>
        <v>2500</v>
      </c>
      <c r="K110" s="61">
        <f ca="1">SUM(FN!F110)</f>
        <v>1000</v>
      </c>
      <c r="L110" s="61">
        <v>900</v>
      </c>
      <c r="M110" s="61">
        <v>900</v>
      </c>
      <c r="N110" s="61">
        <f ca="1">SUM('AC-SVC'!H110)</f>
        <v>500</v>
      </c>
      <c r="O110" s="61">
        <f ca="1">SUM(FS!C110)</f>
        <v>500</v>
      </c>
      <c r="P110" s="61">
        <f ca="1">SUM('AC-SVC'!C110)</f>
        <v>0</v>
      </c>
      <c r="Q110" s="61">
        <f ca="1">SUM(HR!C110)</f>
        <v>3000</v>
      </c>
      <c r="R110" s="61">
        <f ca="1">SUM(IT!C110)</f>
        <v>50</v>
      </c>
      <c r="S110" s="39"/>
      <c r="T110" s="67">
        <f t="shared" si="22"/>
        <v>48100</v>
      </c>
    </row>
    <row r="111" spans="1:20">
      <c r="A111" s="10" t="s">
        <v>44</v>
      </c>
      <c r="B111" s="10" t="s">
        <v>45</v>
      </c>
      <c r="C111" s="39">
        <v>10000</v>
      </c>
      <c r="D111" s="61">
        <f ca="1">SUM(DID!C111)</f>
        <v>0</v>
      </c>
      <c r="E111" s="61">
        <f ca="1">SUM(DID!D111)</f>
        <v>0</v>
      </c>
      <c r="F111" s="61">
        <f ca="1">SUM(DID!E111)</f>
        <v>0</v>
      </c>
      <c r="G111" s="61">
        <f ca="1">SUM(FC!C111)</f>
        <v>0</v>
      </c>
      <c r="H111" s="61">
        <f ca="1">SUM(FN!C111)</f>
        <v>0</v>
      </c>
      <c r="I111" s="61">
        <f ca="1">SUM(FN!D111)</f>
        <v>0</v>
      </c>
      <c r="J111" s="61">
        <f ca="1">SUM(FN!E111)</f>
        <v>0</v>
      </c>
      <c r="K111" s="61">
        <f ca="1">SUM(FN!F111)</f>
        <v>0</v>
      </c>
      <c r="L111" s="61">
        <f ca="1">SUM(FN!G111)</f>
        <v>0</v>
      </c>
      <c r="M111" s="61">
        <f ca="1">SUM(FN!H111)</f>
        <v>0</v>
      </c>
      <c r="N111" s="61">
        <f ca="1">SUM('AC-SVC'!H111)</f>
        <v>0</v>
      </c>
      <c r="O111" s="61">
        <f ca="1">SUM(FS!C111)</f>
        <v>0</v>
      </c>
      <c r="P111" s="61">
        <f ca="1">SUM('AC-SVC'!C111)</f>
        <v>0</v>
      </c>
      <c r="Q111" s="61">
        <f ca="1">SUM(HR!C111)</f>
        <v>0</v>
      </c>
      <c r="R111" s="61">
        <f ca="1">SUM(IT!C111)</f>
        <v>0</v>
      </c>
      <c r="S111" s="39"/>
      <c r="T111" s="67">
        <f t="shared" si="22"/>
        <v>10000</v>
      </c>
    </row>
    <row r="112" spans="1:20">
      <c r="A112" s="10" t="s">
        <v>46</v>
      </c>
      <c r="B112" s="10" t="s">
        <v>240</v>
      </c>
      <c r="C112" s="39">
        <v>25000</v>
      </c>
      <c r="D112" s="61">
        <f ca="1">SUM(DID!C112)</f>
        <v>0</v>
      </c>
      <c r="E112" s="61">
        <f ca="1">SUM(DID!D112)</f>
        <v>0</v>
      </c>
      <c r="F112" s="61">
        <f ca="1">SUM(DID!E112)</f>
        <v>0</v>
      </c>
      <c r="G112" s="61">
        <f ca="1">SUM(FC!C112)</f>
        <v>0</v>
      </c>
      <c r="H112" s="61">
        <f ca="1">SUM(FN!C112)</f>
        <v>0</v>
      </c>
      <c r="I112" s="61">
        <f ca="1">SUM(FN!D112)</f>
        <v>0</v>
      </c>
      <c r="J112" s="61">
        <f ca="1">SUM(FN!E112)</f>
        <v>0</v>
      </c>
      <c r="K112" s="61">
        <f ca="1">SUM(FN!F112)</f>
        <v>0</v>
      </c>
      <c r="L112" s="61">
        <f ca="1">SUM(FN!G112)</f>
        <v>0</v>
      </c>
      <c r="M112" s="61">
        <f ca="1">SUM(FN!H112)</f>
        <v>0</v>
      </c>
      <c r="N112" s="61">
        <f ca="1">SUM('AC-SVC'!H112)</f>
        <v>0</v>
      </c>
      <c r="O112" s="61">
        <f ca="1">SUM(FS!C112)</f>
        <v>0</v>
      </c>
      <c r="P112" s="61">
        <f ca="1">SUM('AC-SVC'!C112)</f>
        <v>0</v>
      </c>
      <c r="Q112" s="61">
        <f ca="1">SUM(HR!C112)</f>
        <v>7500</v>
      </c>
      <c r="R112" s="61">
        <f ca="1">SUM(IT!C112)</f>
        <v>0</v>
      </c>
      <c r="S112" s="39"/>
      <c r="T112" s="67">
        <f t="shared" si="22"/>
        <v>32500</v>
      </c>
    </row>
    <row r="113" spans="1:20">
      <c r="A113" s="10" t="s">
        <v>47</v>
      </c>
      <c r="B113" s="10" t="s">
        <v>241</v>
      </c>
      <c r="C113" s="39"/>
      <c r="D113" s="61">
        <f ca="1">SUM(DID!C113)</f>
        <v>0</v>
      </c>
      <c r="E113" s="61">
        <f ca="1">SUM(DID!D113)</f>
        <v>0</v>
      </c>
      <c r="F113" s="61">
        <f ca="1">SUM(DID!E113)</f>
        <v>0</v>
      </c>
      <c r="G113" s="61">
        <f ca="1">SUM(FC!C113)</f>
        <v>0</v>
      </c>
      <c r="H113" s="61">
        <f ca="1">SUM(FN!C113)</f>
        <v>0</v>
      </c>
      <c r="I113" s="61">
        <f ca="1">SUM(FN!D113)</f>
        <v>0</v>
      </c>
      <c r="J113" s="61">
        <f ca="1">SUM(FN!E113)</f>
        <v>27500</v>
      </c>
      <c r="K113" s="61">
        <f ca="1">SUM(FN!F113)</f>
        <v>0</v>
      </c>
      <c r="L113" s="61">
        <f ca="1">SUM(FN!G113)</f>
        <v>0</v>
      </c>
      <c r="M113" s="61">
        <f ca="1">SUM(FN!H113)</f>
        <v>0</v>
      </c>
      <c r="N113" s="61">
        <f ca="1">SUM('AC-SVC'!H113)</f>
        <v>0</v>
      </c>
      <c r="O113" s="61">
        <f ca="1">SUM(FS!C113)</f>
        <v>0</v>
      </c>
      <c r="P113" s="61">
        <f ca="1">SUM('AC-SVC'!C113)</f>
        <v>0</v>
      </c>
      <c r="Q113" s="61">
        <f ca="1">SUM(HR!C113)</f>
        <v>0</v>
      </c>
      <c r="R113" s="61">
        <f ca="1">SUM(IT!C113)</f>
        <v>0</v>
      </c>
      <c r="S113" s="39"/>
      <c r="T113" s="67">
        <f t="shared" si="22"/>
        <v>27500</v>
      </c>
    </row>
    <row r="114" spans="1:20">
      <c r="A114" s="10" t="s">
        <v>48</v>
      </c>
      <c r="B114" s="10" t="s">
        <v>49</v>
      </c>
      <c r="C114" s="39"/>
      <c r="D114" s="61">
        <f ca="1">SUM(DID!C114)</f>
        <v>0</v>
      </c>
      <c r="E114" s="61">
        <f ca="1">SUM(DID!D114)</f>
        <v>0</v>
      </c>
      <c r="F114" s="61">
        <f ca="1">SUM(DID!E114)</f>
        <v>0</v>
      </c>
      <c r="G114" s="61">
        <f ca="1">SUM(FC!C114)</f>
        <v>0</v>
      </c>
      <c r="H114" s="61">
        <f ca="1">SUM(FN!C114)</f>
        <v>0</v>
      </c>
      <c r="I114" s="61">
        <f ca="1">SUM(FN!D114)</f>
        <v>0</v>
      </c>
      <c r="J114" s="61">
        <f ca="1">SUM(FN!E114)</f>
        <v>0</v>
      </c>
      <c r="K114" s="61">
        <f ca="1">SUM(FN!F114)</f>
        <v>0</v>
      </c>
      <c r="L114" s="61">
        <f ca="1">SUM(FN!G114)</f>
        <v>0</v>
      </c>
      <c r="M114" s="61">
        <f ca="1">SUM(FN!H114)</f>
        <v>0</v>
      </c>
      <c r="N114" s="61">
        <f ca="1">SUM('AC-SVC'!H114)</f>
        <v>0</v>
      </c>
      <c r="O114" s="61">
        <f ca="1">SUM(FS!C114)</f>
        <v>0</v>
      </c>
      <c r="P114" s="61">
        <f ca="1">SUM('AC-SVC'!C114)</f>
        <v>0</v>
      </c>
      <c r="Q114" s="61">
        <f ca="1">SUM(HR!C114)</f>
        <v>0</v>
      </c>
      <c r="R114" s="61">
        <f ca="1">SUM(IT!C114)</f>
        <v>680</v>
      </c>
      <c r="S114" s="39"/>
      <c r="T114" s="67">
        <f t="shared" si="22"/>
        <v>680</v>
      </c>
    </row>
    <row r="115" spans="1:20">
      <c r="A115" s="10" t="s">
        <v>82</v>
      </c>
      <c r="B115" s="10" t="s">
        <v>166</v>
      </c>
      <c r="C115" s="39"/>
      <c r="D115" s="61">
        <f ca="1">SUM(DID!C115)</f>
        <v>0</v>
      </c>
      <c r="E115" s="61">
        <f ca="1">SUM(DID!D115)</f>
        <v>0</v>
      </c>
      <c r="F115" s="61">
        <f ca="1">SUM(DID!E115)</f>
        <v>0</v>
      </c>
      <c r="G115" s="61">
        <f ca="1">SUM(FC!C115)</f>
        <v>0</v>
      </c>
      <c r="H115" s="61">
        <f ca="1">SUM(FN!C115)</f>
        <v>0</v>
      </c>
      <c r="I115" s="61">
        <f ca="1">SUM(FN!D115)</f>
        <v>0</v>
      </c>
      <c r="J115" s="61">
        <f ca="1">SUM(FN!E115)</f>
        <v>0</v>
      </c>
      <c r="K115" s="61">
        <f ca="1">SUM(FN!F115)</f>
        <v>0</v>
      </c>
      <c r="L115" s="61">
        <f ca="1">SUM(FN!G115)</f>
        <v>0</v>
      </c>
      <c r="M115" s="61">
        <f ca="1">SUM(FN!H115)</f>
        <v>0</v>
      </c>
      <c r="N115" s="61">
        <f ca="1">SUM('AC-SVC'!H115)</f>
        <v>0</v>
      </c>
      <c r="O115" s="61">
        <f ca="1">SUM(FS!C115)</f>
        <v>0</v>
      </c>
      <c r="P115" s="61">
        <f ca="1">SUM('AC-SVC'!C115)</f>
        <v>0</v>
      </c>
      <c r="Q115" s="61">
        <f ca="1">SUM(HR!C115)</f>
        <v>0</v>
      </c>
      <c r="R115" s="61">
        <f ca="1">SUM(IT!C115)</f>
        <v>0</v>
      </c>
      <c r="S115" s="39"/>
      <c r="T115" s="67">
        <f t="shared" si="22"/>
        <v>0</v>
      </c>
    </row>
    <row r="116" spans="1:20">
      <c r="A116" s="10" t="s">
        <v>104</v>
      </c>
      <c r="B116" s="10" t="s">
        <v>103</v>
      </c>
      <c r="C116" s="39"/>
      <c r="D116" s="61">
        <f ca="1">SUM(DID!C116)</f>
        <v>0</v>
      </c>
      <c r="E116" s="61">
        <f ca="1">SUM(DID!D116)</f>
        <v>0</v>
      </c>
      <c r="F116" s="61">
        <f ca="1">SUM(DID!E116)</f>
        <v>0</v>
      </c>
      <c r="G116" s="61">
        <f ca="1">SUM(FC!C116)</f>
        <v>0</v>
      </c>
      <c r="H116" s="61">
        <f ca="1">SUM(FN!C116)</f>
        <v>0</v>
      </c>
      <c r="I116" s="61">
        <f ca="1">SUM(FN!D116)</f>
        <v>0</v>
      </c>
      <c r="J116" s="61">
        <f ca="1">SUM(FN!E116)</f>
        <v>0</v>
      </c>
      <c r="K116" s="61">
        <f ca="1">SUM(FN!F116)</f>
        <v>0</v>
      </c>
      <c r="L116" s="61">
        <f ca="1">SUM(FN!G116)</f>
        <v>0</v>
      </c>
      <c r="M116" s="61">
        <f ca="1">SUM(FN!H116)</f>
        <v>0</v>
      </c>
      <c r="N116" s="61">
        <f ca="1">SUM('AC-SVC'!H116)</f>
        <v>0</v>
      </c>
      <c r="O116" s="61">
        <f ca="1">SUM(FS!C116)</f>
        <v>0</v>
      </c>
      <c r="P116" s="61">
        <f ca="1">SUM('AC-SVC'!C116)</f>
        <v>0</v>
      </c>
      <c r="Q116" s="61">
        <f ca="1">SUM(HR!C116)</f>
        <v>5000</v>
      </c>
      <c r="R116" s="61">
        <f ca="1">SUM(IT!C116)</f>
        <v>0</v>
      </c>
      <c r="S116" s="39"/>
      <c r="T116" s="67">
        <f t="shared" si="22"/>
        <v>5000</v>
      </c>
    </row>
    <row r="117" spans="1:20">
      <c r="A117" s="10" t="s">
        <v>59</v>
      </c>
      <c r="B117" s="10" t="s">
        <v>321</v>
      </c>
      <c r="C117" s="39"/>
      <c r="D117" s="61">
        <f ca="1">SUM(DID!C117)</f>
        <v>0</v>
      </c>
      <c r="E117" s="61">
        <f ca="1">SUM(DID!D117)</f>
        <v>0</v>
      </c>
      <c r="F117" s="61">
        <f ca="1">SUM(DID!E117)</f>
        <v>0</v>
      </c>
      <c r="G117" s="61">
        <f ca="1">SUM(FC!C117)</f>
        <v>0</v>
      </c>
      <c r="H117" s="61">
        <f ca="1">SUM(FN!C117)</f>
        <v>0</v>
      </c>
      <c r="I117" s="61">
        <f ca="1">SUM(FN!D117)</f>
        <v>0</v>
      </c>
      <c r="J117" s="61">
        <f ca="1">SUM(FN!E117)</f>
        <v>0</v>
      </c>
      <c r="K117" s="61">
        <f ca="1">SUM(FN!F117)</f>
        <v>0</v>
      </c>
      <c r="L117" s="61">
        <f ca="1">SUM(FN!G117)</f>
        <v>0</v>
      </c>
      <c r="M117" s="61">
        <f ca="1">SUM(FN!H117)</f>
        <v>0</v>
      </c>
      <c r="N117" s="61">
        <f ca="1">SUM('AC-SVC'!H117)</f>
        <v>0</v>
      </c>
      <c r="O117" s="61">
        <f ca="1">SUM(FS!C117)</f>
        <v>0</v>
      </c>
      <c r="P117" s="61">
        <f ca="1">SUM('AC-SVC'!C117)</f>
        <v>0</v>
      </c>
      <c r="Q117" s="61">
        <f ca="1">SUM(HR!C117)</f>
        <v>0</v>
      </c>
      <c r="R117" s="61">
        <f ca="1">SUM(IT!C117)</f>
        <v>0</v>
      </c>
      <c r="S117" s="39"/>
      <c r="T117" s="67">
        <f t="shared" si="22"/>
        <v>0</v>
      </c>
    </row>
    <row r="118" spans="1:20">
      <c r="A118" s="10" t="s">
        <v>87</v>
      </c>
      <c r="B118" s="10" t="s">
        <v>88</v>
      </c>
      <c r="C118" s="39"/>
      <c r="D118" s="61">
        <f ca="1">SUM(DID!C118)</f>
        <v>0</v>
      </c>
      <c r="E118" s="61">
        <f ca="1">SUM(DID!D118)</f>
        <v>15000</v>
      </c>
      <c r="F118" s="61">
        <f ca="1">SUM(DID!E118)</f>
        <v>30000</v>
      </c>
      <c r="G118" s="61">
        <f ca="1">SUM(FC!C118)</f>
        <v>0</v>
      </c>
      <c r="H118" s="61">
        <f ca="1">SUM(FN!C118)</f>
        <v>0</v>
      </c>
      <c r="I118" s="61">
        <f ca="1">SUM(FN!D118)</f>
        <v>0</v>
      </c>
      <c r="J118" s="61">
        <f ca="1">SUM(FN!E118)</f>
        <v>0</v>
      </c>
      <c r="K118" s="61">
        <f ca="1">SUM(FN!F118)</f>
        <v>0</v>
      </c>
      <c r="L118" s="61">
        <f ca="1">SUM(FN!G118)</f>
        <v>0</v>
      </c>
      <c r="M118" s="61">
        <f ca="1">SUM(FN!H118)</f>
        <v>0</v>
      </c>
      <c r="N118" s="61">
        <f ca="1">SUM('AC-SVC'!H118)</f>
        <v>0</v>
      </c>
      <c r="O118" s="61">
        <f ca="1">SUM(FS!C118)</f>
        <v>0</v>
      </c>
      <c r="P118" s="61">
        <f ca="1">SUM('AC-SVC'!C118)</f>
        <v>0</v>
      </c>
      <c r="Q118" s="61">
        <f ca="1">SUM(HR!C118)</f>
        <v>2500</v>
      </c>
      <c r="R118" s="61">
        <f ca="1">SUM(IT!C118)</f>
        <v>0</v>
      </c>
      <c r="S118" s="39"/>
      <c r="T118" s="67">
        <f t="shared" si="22"/>
        <v>47500</v>
      </c>
    </row>
    <row r="119" spans="1:20">
      <c r="A119" s="10" t="s">
        <v>89</v>
      </c>
      <c r="B119" s="10" t="s">
        <v>90</v>
      </c>
      <c r="C119" s="39"/>
      <c r="D119" s="61">
        <f ca="1">SUM(DID!C119)</f>
        <v>0</v>
      </c>
      <c r="E119" s="61">
        <f ca="1">SUM(DID!D119)</f>
        <v>0</v>
      </c>
      <c r="F119" s="61">
        <f ca="1">SUM(DID!E119)</f>
        <v>0</v>
      </c>
      <c r="G119" s="61">
        <f ca="1">SUM(FC!C119)</f>
        <v>0</v>
      </c>
      <c r="H119" s="61">
        <f ca="1">SUM(FN!C119)</f>
        <v>0</v>
      </c>
      <c r="I119" s="61">
        <f ca="1">SUM(FN!D119)</f>
        <v>0</v>
      </c>
      <c r="J119" s="61">
        <f ca="1">SUM(FN!E119)</f>
        <v>0</v>
      </c>
      <c r="K119" s="61">
        <f ca="1">SUM(FN!F119)</f>
        <v>0</v>
      </c>
      <c r="L119" s="61">
        <f ca="1">SUM(FN!G119)</f>
        <v>0</v>
      </c>
      <c r="M119" s="61">
        <f ca="1">SUM(FN!H119)</f>
        <v>0</v>
      </c>
      <c r="N119" s="61">
        <f ca="1">SUM('AC-SVC'!H119)</f>
        <v>0</v>
      </c>
      <c r="O119" s="61">
        <f ca="1">SUM(FS!C119)</f>
        <v>0</v>
      </c>
      <c r="P119" s="61">
        <f ca="1">SUM('AC-SVC'!C119)</f>
        <v>0</v>
      </c>
      <c r="Q119" s="61">
        <f ca="1">SUM(HR!C119)</f>
        <v>0</v>
      </c>
      <c r="R119" s="61">
        <f ca="1">SUM(IT!C119)</f>
        <v>0</v>
      </c>
      <c r="S119" s="39"/>
      <c r="T119" s="67">
        <f t="shared" si="22"/>
        <v>0</v>
      </c>
    </row>
    <row r="120" spans="1:20">
      <c r="A120" s="10" t="s">
        <v>843</v>
      </c>
      <c r="B120" s="10" t="s">
        <v>451</v>
      </c>
      <c r="C120" s="39"/>
      <c r="D120" s="61">
        <f ca="1">SUM(DID!C120)</f>
        <v>0</v>
      </c>
      <c r="E120" s="61">
        <f ca="1">SUM(DID!D120)</f>
        <v>0</v>
      </c>
      <c r="F120" s="61">
        <f ca="1">SUM(DID!E120)</f>
        <v>0</v>
      </c>
      <c r="G120" s="61">
        <f ca="1">SUM(FC!C120)</f>
        <v>0</v>
      </c>
      <c r="H120" s="61">
        <f ca="1">SUM(FN!C120)</f>
        <v>0</v>
      </c>
      <c r="I120" s="61">
        <f ca="1">SUM(FN!D120)</f>
        <v>0</v>
      </c>
      <c r="J120" s="61">
        <f ca="1">SUM(FN!E120)</f>
        <v>0</v>
      </c>
      <c r="K120" s="61">
        <f ca="1">SUM(FN!F120)</f>
        <v>0</v>
      </c>
      <c r="L120" s="61">
        <f ca="1">SUM(FN!G120)</f>
        <v>0</v>
      </c>
      <c r="M120" s="61">
        <f ca="1">SUM(FN!H120)</f>
        <v>0</v>
      </c>
      <c r="N120" s="61">
        <f ca="1">SUM('AC-SVC'!H120)</f>
        <v>0</v>
      </c>
      <c r="O120" s="61">
        <f ca="1">SUM(FS!C120)</f>
        <v>0</v>
      </c>
      <c r="P120" s="61">
        <f ca="1">SUM('AC-SVC'!C120)</f>
        <v>0</v>
      </c>
      <c r="Q120" s="61">
        <f ca="1">SUM(HR!C120)</f>
        <v>0</v>
      </c>
      <c r="R120" s="61">
        <f ca="1">SUM(IT!C120)</f>
        <v>0</v>
      </c>
      <c r="S120" s="39"/>
      <c r="T120" s="67">
        <f t="shared" si="22"/>
        <v>0</v>
      </c>
    </row>
    <row r="121" spans="1:20">
      <c r="A121" s="10" t="s">
        <v>52</v>
      </c>
      <c r="B121" s="10" t="s">
        <v>53</v>
      </c>
      <c r="C121" s="40">
        <f>18000+15000</f>
        <v>33000</v>
      </c>
      <c r="D121" s="40">
        <f ca="1">SUM(DID!C121)</f>
        <v>0</v>
      </c>
      <c r="E121" s="40">
        <f ca="1">SUM(DID!D121)</f>
        <v>0</v>
      </c>
      <c r="F121" s="40">
        <f ca="1">SUM(DID!E121)</f>
        <v>0</v>
      </c>
      <c r="G121" s="40">
        <f ca="1">SUM(FC!C121)</f>
        <v>0</v>
      </c>
      <c r="H121" s="40">
        <f ca="1">SUM(FN!C121)</f>
        <v>0</v>
      </c>
      <c r="I121" s="40">
        <f ca="1">SUM(FN!D121)</f>
        <v>0</v>
      </c>
      <c r="J121" s="40">
        <f ca="1">SUM(FN!E121)</f>
        <v>0</v>
      </c>
      <c r="K121" s="40">
        <f ca="1">SUM(FN!F121)</f>
        <v>0</v>
      </c>
      <c r="L121" s="40">
        <f ca="1">SUM(FN!G121)</f>
        <v>0</v>
      </c>
      <c r="M121" s="40">
        <f ca="1">SUM(FN!H121)</f>
        <v>0</v>
      </c>
      <c r="N121" s="40">
        <f ca="1">SUM('AC-SVC'!H121)</f>
        <v>0</v>
      </c>
      <c r="O121" s="40">
        <f ca="1">SUM(FS!C121)</f>
        <v>0</v>
      </c>
      <c r="P121" s="40">
        <f ca="1">SUM('AC-SVC'!C121)</f>
        <v>0</v>
      </c>
      <c r="Q121" s="40">
        <f ca="1">SUM(HR!C121)</f>
        <v>0</v>
      </c>
      <c r="R121" s="40">
        <f ca="1">SUM(IT!C121)</f>
        <v>0</v>
      </c>
      <c r="S121" s="39"/>
      <c r="T121" s="66">
        <f t="shared" si="22"/>
        <v>33000</v>
      </c>
    </row>
    <row r="122" spans="1:20">
      <c r="B122" s="10" t="s">
        <v>242</v>
      </c>
      <c r="C122" s="39">
        <f>SUM(C108:C121)</f>
        <v>108500</v>
      </c>
      <c r="D122" s="39">
        <f t="shared" ref="D122:R122" si="23">SUM(D108:D121)</f>
        <v>1000</v>
      </c>
      <c r="E122" s="39">
        <f t="shared" si="23"/>
        <v>16000</v>
      </c>
      <c r="F122" s="39">
        <f t="shared" si="23"/>
        <v>31000</v>
      </c>
      <c r="G122" s="39">
        <f t="shared" si="23"/>
        <v>1000</v>
      </c>
      <c r="H122" s="39">
        <f t="shared" si="23"/>
        <v>2250</v>
      </c>
      <c r="I122" s="39">
        <f t="shared" si="23"/>
        <v>15000</v>
      </c>
      <c r="J122" s="39">
        <f t="shared" si="23"/>
        <v>30000</v>
      </c>
      <c r="K122" s="39">
        <f>SUM(K108:K121)</f>
        <v>1000</v>
      </c>
      <c r="L122" s="39">
        <f>SUM(L108:L121)</f>
        <v>900</v>
      </c>
      <c r="M122" s="39">
        <f>SUM(M108:M121)</f>
        <v>900</v>
      </c>
      <c r="N122" s="39">
        <f t="shared" si="23"/>
        <v>500</v>
      </c>
      <c r="O122" s="39">
        <f t="shared" si="23"/>
        <v>500</v>
      </c>
      <c r="P122" s="39">
        <f>SUM(P108:P121)</f>
        <v>750</v>
      </c>
      <c r="Q122" s="39">
        <f t="shared" si="23"/>
        <v>18000</v>
      </c>
      <c r="R122" s="39">
        <f t="shared" si="23"/>
        <v>12767.5</v>
      </c>
      <c r="S122" s="39"/>
      <c r="T122" s="57">
        <f>SUM(T108:T121)</f>
        <v>240067.5</v>
      </c>
    </row>
    <row r="123" spans="1:20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57"/>
    </row>
    <row r="124" spans="1:20">
      <c r="A124" s="10" t="s">
        <v>243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57"/>
    </row>
    <row r="125" spans="1:20">
      <c r="A125" s="10" t="s">
        <v>56</v>
      </c>
      <c r="B125" s="10" t="s">
        <v>246</v>
      </c>
      <c r="C125" s="39"/>
      <c r="D125" s="61">
        <f ca="1">SUM(DID!C125)</f>
        <v>0</v>
      </c>
      <c r="E125" s="61">
        <f ca="1">SUM(DID!D125)</f>
        <v>0</v>
      </c>
      <c r="F125" s="61">
        <f ca="1">SUM(DID!E125)</f>
        <v>0</v>
      </c>
      <c r="G125" s="61">
        <f ca="1">SUM(FC!C125)</f>
        <v>0</v>
      </c>
      <c r="H125" s="61">
        <f ca="1">SUM(FN!C125)</f>
        <v>0</v>
      </c>
      <c r="I125" s="61">
        <f ca="1">SUM(FN!D125)</f>
        <v>0</v>
      </c>
      <c r="J125" s="61">
        <f ca="1">SUM(FN!E125)</f>
        <v>0</v>
      </c>
      <c r="K125" s="61">
        <f ca="1">SUM(FN!F125)</f>
        <v>0</v>
      </c>
      <c r="L125" s="61">
        <f ca="1">SUM(FN!G125)</f>
        <v>0</v>
      </c>
      <c r="M125" s="61">
        <f ca="1">SUM(FN!H125)</f>
        <v>0</v>
      </c>
      <c r="N125" s="61">
        <f ca="1">SUM('AC-SVC'!H125)</f>
        <v>0</v>
      </c>
      <c r="O125" s="61">
        <f ca="1">SUM(FS!C125)</f>
        <v>0</v>
      </c>
      <c r="P125" s="61">
        <f ca="1">SUM('AC-SVC'!C125)</f>
        <v>0</v>
      </c>
      <c r="Q125" s="61">
        <f ca="1">SUM(HR!C125)</f>
        <v>0</v>
      </c>
      <c r="R125" s="61">
        <f ca="1">SUM(IT!C125)</f>
        <v>0</v>
      </c>
      <c r="S125" s="39"/>
      <c r="T125" s="67">
        <f t="shared" ref="T125:T132" si="24">SUM(C125:R125)</f>
        <v>0</v>
      </c>
    </row>
    <row r="126" spans="1:20">
      <c r="A126" s="10" t="s">
        <v>57</v>
      </c>
      <c r="B126" s="10" t="s">
        <v>247</v>
      </c>
      <c r="C126" s="39"/>
      <c r="D126" s="61">
        <f ca="1">SUM(DID!C126)</f>
        <v>0</v>
      </c>
      <c r="E126" s="61">
        <f ca="1">SUM(DID!D126)</f>
        <v>0</v>
      </c>
      <c r="F126" s="61">
        <f ca="1">SUM(DID!E126)</f>
        <v>0</v>
      </c>
      <c r="G126" s="61">
        <f ca="1">SUM(FC!C126)</f>
        <v>0</v>
      </c>
      <c r="H126" s="61">
        <f ca="1">SUM(FN!C126)</f>
        <v>0</v>
      </c>
      <c r="I126" s="61">
        <f ca="1">SUM(FN!D126)</f>
        <v>0</v>
      </c>
      <c r="J126" s="61">
        <f ca="1">SUM(FN!E126)</f>
        <v>720</v>
      </c>
      <c r="K126" s="61">
        <f ca="1">SUM(FN!F126)</f>
        <v>0</v>
      </c>
      <c r="L126" s="61">
        <f ca="1">SUM(FN!G126)</f>
        <v>0</v>
      </c>
      <c r="M126" s="61">
        <f ca="1">SUM(FN!H126)</f>
        <v>0</v>
      </c>
      <c r="N126" s="61">
        <f ca="1">SUM('AC-SVC'!H126)</f>
        <v>0</v>
      </c>
      <c r="O126" s="61">
        <f ca="1">SUM(FS!C126)</f>
        <v>0</v>
      </c>
      <c r="P126" s="61">
        <f ca="1">SUM('AC-SVC'!C126)</f>
        <v>0</v>
      </c>
      <c r="Q126" s="61">
        <f ca="1">SUM(HR!C126)</f>
        <v>0</v>
      </c>
      <c r="R126" s="61">
        <f ca="1">SUM(IT!C126)</f>
        <v>0</v>
      </c>
      <c r="S126" s="39"/>
      <c r="T126" s="67">
        <f t="shared" si="24"/>
        <v>720</v>
      </c>
    </row>
    <row r="127" spans="1:20">
      <c r="A127" s="10" t="s">
        <v>58</v>
      </c>
      <c r="B127" s="10" t="s">
        <v>248</v>
      </c>
      <c r="C127" s="39"/>
      <c r="D127" s="61">
        <f ca="1">SUM(DID!C127)</f>
        <v>0</v>
      </c>
      <c r="E127" s="61">
        <f ca="1">SUM(DID!D127)</f>
        <v>0</v>
      </c>
      <c r="F127" s="61">
        <f ca="1">SUM(DID!E127)</f>
        <v>0</v>
      </c>
      <c r="G127" s="61">
        <f ca="1">SUM(FC!C127)</f>
        <v>0</v>
      </c>
      <c r="H127" s="61">
        <f ca="1">SUM(FN!C127)</f>
        <v>0</v>
      </c>
      <c r="I127" s="61">
        <f ca="1">SUM(FN!D127)</f>
        <v>0</v>
      </c>
      <c r="J127" s="61">
        <f ca="1">SUM(FN!E127)</f>
        <v>0</v>
      </c>
      <c r="K127" s="61">
        <f ca="1">SUM(FN!F127)</f>
        <v>0</v>
      </c>
      <c r="L127" s="61">
        <f ca="1">SUM(FN!G127)</f>
        <v>0</v>
      </c>
      <c r="M127" s="61">
        <f ca="1">SUM(FN!H127)</f>
        <v>0</v>
      </c>
      <c r="N127" s="61">
        <f ca="1">SUM('AC-SVC'!H127)</f>
        <v>0</v>
      </c>
      <c r="O127" s="61">
        <f ca="1">SUM(FS!C127)</f>
        <v>0</v>
      </c>
      <c r="P127" s="61">
        <f ca="1">SUM('AC-SVC'!C127)</f>
        <v>0</v>
      </c>
      <c r="Q127" s="61">
        <f ca="1">SUM(HR!C127)</f>
        <v>0</v>
      </c>
      <c r="R127" s="61">
        <f ca="1">SUM(IT!C127)</f>
        <v>0</v>
      </c>
      <c r="S127" s="39"/>
      <c r="T127" s="67">
        <f t="shared" si="24"/>
        <v>0</v>
      </c>
    </row>
    <row r="128" spans="1:20">
      <c r="A128" s="10" t="s">
        <v>55</v>
      </c>
      <c r="B128" s="10" t="s">
        <v>245</v>
      </c>
      <c r="C128" s="39"/>
      <c r="D128" s="61">
        <f ca="1">SUM(DID!C128)</f>
        <v>0</v>
      </c>
      <c r="E128" s="61">
        <f ca="1">SUM(DID!D128)</f>
        <v>0</v>
      </c>
      <c r="F128" s="61">
        <f ca="1">SUM(DID!E128)</f>
        <v>0</v>
      </c>
      <c r="G128" s="61">
        <f ca="1">SUM(FC!C128)</f>
        <v>0</v>
      </c>
      <c r="H128" s="61">
        <f ca="1">SUM(FN!C128)</f>
        <v>0</v>
      </c>
      <c r="I128" s="61">
        <f ca="1">SUM(FN!D128)</f>
        <v>0</v>
      </c>
      <c r="J128" s="61">
        <f ca="1">SUM(FN!E128)</f>
        <v>0</v>
      </c>
      <c r="K128" s="61">
        <f ca="1">SUM(FN!F128)</f>
        <v>0</v>
      </c>
      <c r="L128" s="61">
        <f ca="1">SUM(FN!G128)</f>
        <v>0</v>
      </c>
      <c r="M128" s="61">
        <f ca="1">SUM(FN!H128)</f>
        <v>0</v>
      </c>
      <c r="N128" s="61">
        <f ca="1">SUM('AC-SVC'!H128)</f>
        <v>0</v>
      </c>
      <c r="O128" s="61">
        <f ca="1">SUM(FS!C128)</f>
        <v>0</v>
      </c>
      <c r="P128" s="61">
        <f ca="1">SUM('AC-SVC'!C128)</f>
        <v>0</v>
      </c>
      <c r="Q128" s="61">
        <f ca="1">SUM(HR!C128)</f>
        <v>0</v>
      </c>
      <c r="R128" s="61">
        <f ca="1">SUM(IT!C128)</f>
        <v>0</v>
      </c>
      <c r="S128" s="39"/>
      <c r="T128" s="67">
        <f t="shared" si="24"/>
        <v>0</v>
      </c>
    </row>
    <row r="129" spans="1:20" ht="10.5" customHeight="1">
      <c r="A129" s="10" t="s">
        <v>54</v>
      </c>
      <c r="B129" s="10" t="s">
        <v>244</v>
      </c>
      <c r="C129" s="39"/>
      <c r="D129" s="61">
        <f ca="1">SUM(DID!C129)</f>
        <v>0</v>
      </c>
      <c r="E129" s="61">
        <f ca="1">SUM(DID!D129)</f>
        <v>0</v>
      </c>
      <c r="F129" s="61">
        <f ca="1">SUM(DID!E129)</f>
        <v>0</v>
      </c>
      <c r="G129" s="61">
        <f ca="1">SUM(FC!C129)</f>
        <v>0</v>
      </c>
      <c r="H129" s="61">
        <f ca="1">SUM(FN!C129)</f>
        <v>0</v>
      </c>
      <c r="I129" s="61">
        <f ca="1">SUM(FN!D129)</f>
        <v>0</v>
      </c>
      <c r="J129" s="61">
        <f ca="1">SUM(FN!E129)</f>
        <v>0</v>
      </c>
      <c r="K129" s="61">
        <f ca="1">SUM(FN!F129)</f>
        <v>0</v>
      </c>
      <c r="L129" s="61">
        <f ca="1">SUM(FN!G129)</f>
        <v>0</v>
      </c>
      <c r="M129" s="61">
        <f ca="1">SUM(FN!H129)</f>
        <v>0</v>
      </c>
      <c r="N129" s="61">
        <f ca="1">SUM('AC-SVC'!H129)</f>
        <v>0</v>
      </c>
      <c r="O129" s="61">
        <f ca="1">SUM(FS!C129)</f>
        <v>0</v>
      </c>
      <c r="P129" s="61">
        <f ca="1">SUM('AC-SVC'!C129)</f>
        <v>0</v>
      </c>
      <c r="Q129" s="61">
        <f ca="1">SUM(HR!C129)</f>
        <v>0</v>
      </c>
      <c r="R129" s="61">
        <f ca="1">SUM(IT!C129)</f>
        <v>0</v>
      </c>
      <c r="S129" s="39"/>
      <c r="T129" s="67">
        <f t="shared" si="24"/>
        <v>0</v>
      </c>
    </row>
    <row r="130" spans="1:20">
      <c r="A130" s="10" t="s">
        <v>60</v>
      </c>
      <c r="B130" s="10" t="s">
        <v>61</v>
      </c>
      <c r="C130" s="39"/>
      <c r="D130" s="61">
        <f ca="1">SUM(DID!C130)</f>
        <v>0</v>
      </c>
      <c r="E130" s="61">
        <f ca="1">SUM(DID!D130)</f>
        <v>0</v>
      </c>
      <c r="F130" s="61">
        <f ca="1">SUM(DID!E130)</f>
        <v>0</v>
      </c>
      <c r="G130" s="61">
        <f ca="1">SUM(FC!C130)</f>
        <v>0</v>
      </c>
      <c r="H130" s="61">
        <f ca="1">SUM(FN!C130)</f>
        <v>0</v>
      </c>
      <c r="I130" s="61">
        <f ca="1">SUM(FN!D130)</f>
        <v>0</v>
      </c>
      <c r="J130" s="61">
        <f ca="1">SUM(FN!E130)</f>
        <v>0</v>
      </c>
      <c r="K130" s="61">
        <f ca="1">SUM(FN!F130)</f>
        <v>0</v>
      </c>
      <c r="L130" s="61">
        <f ca="1">SUM(FN!G130)</f>
        <v>0</v>
      </c>
      <c r="M130" s="61">
        <f ca="1">SUM(FN!H130)</f>
        <v>0</v>
      </c>
      <c r="N130" s="61">
        <f ca="1">SUM('AC-SVC'!H130)</f>
        <v>0</v>
      </c>
      <c r="O130" s="61">
        <f ca="1">SUM(FS!C130)</f>
        <v>0</v>
      </c>
      <c r="P130" s="61">
        <f ca="1">SUM('AC-SVC'!C130)</f>
        <v>0</v>
      </c>
      <c r="Q130" s="61">
        <f ca="1">SUM(HR!C130)</f>
        <v>0</v>
      </c>
      <c r="R130" s="61">
        <f ca="1">SUM(IT!C130)</f>
        <v>0</v>
      </c>
      <c r="S130" s="39"/>
      <c r="T130" s="67">
        <f t="shared" si="24"/>
        <v>0</v>
      </c>
    </row>
    <row r="131" spans="1:20">
      <c r="A131" s="10" t="s">
        <v>485</v>
      </c>
      <c r="B131" s="10" t="s">
        <v>449</v>
      </c>
      <c r="C131" s="39"/>
      <c r="D131" s="61">
        <f ca="1">SUM(DID!C131)</f>
        <v>0</v>
      </c>
      <c r="E131" s="61">
        <f ca="1">SUM(DID!D131)</f>
        <v>0</v>
      </c>
      <c r="F131" s="61">
        <f ca="1">SUM(DID!E131)</f>
        <v>0</v>
      </c>
      <c r="G131" s="61">
        <f ca="1">SUM(FC!C131)</f>
        <v>0</v>
      </c>
      <c r="H131" s="61">
        <f ca="1">SUM(FN!C131)</f>
        <v>0</v>
      </c>
      <c r="I131" s="61">
        <f ca="1">SUM(FN!D131)</f>
        <v>0</v>
      </c>
      <c r="J131" s="61">
        <f ca="1">SUM(FN!E131)</f>
        <v>0</v>
      </c>
      <c r="K131" s="61">
        <f ca="1">SUM(FN!F131)</f>
        <v>0</v>
      </c>
      <c r="L131" s="61">
        <f ca="1">SUM(FN!G131)</f>
        <v>0</v>
      </c>
      <c r="M131" s="61">
        <f ca="1">SUM(FN!H131)</f>
        <v>0</v>
      </c>
      <c r="N131" s="61">
        <f ca="1">SUM('AC-SVC'!H131)</f>
        <v>0</v>
      </c>
      <c r="O131" s="61">
        <f ca="1">SUM(FS!C131)</f>
        <v>0</v>
      </c>
      <c r="P131" s="61">
        <f ca="1">SUM('AC-SVC'!C131)</f>
        <v>0</v>
      </c>
      <c r="Q131" s="61">
        <f ca="1">SUM(HR!C131)</f>
        <v>0</v>
      </c>
      <c r="R131" s="61">
        <f ca="1">SUM(IT!C131)</f>
        <v>0</v>
      </c>
      <c r="S131" s="39"/>
      <c r="T131" s="67">
        <f t="shared" si="24"/>
        <v>0</v>
      </c>
    </row>
    <row r="132" spans="1:20">
      <c r="A132" s="10" t="s">
        <v>62</v>
      </c>
      <c r="B132" s="10" t="s">
        <v>249</v>
      </c>
      <c r="C132" s="40"/>
      <c r="D132" s="40">
        <f ca="1">SUM(DID!C132)</f>
        <v>0</v>
      </c>
      <c r="E132" s="40">
        <f ca="1">SUM(DID!D132)</f>
        <v>0</v>
      </c>
      <c r="F132" s="40">
        <f ca="1">SUM(DID!E132)</f>
        <v>0</v>
      </c>
      <c r="G132" s="40">
        <f ca="1">SUM(FC!C132)</f>
        <v>0</v>
      </c>
      <c r="H132" s="40">
        <f ca="1">SUM(FN!C132)</f>
        <v>0</v>
      </c>
      <c r="I132" s="40">
        <f ca="1">SUM(FN!D132)</f>
        <v>0</v>
      </c>
      <c r="J132" s="40">
        <f ca="1">SUM(FN!E132)</f>
        <v>0</v>
      </c>
      <c r="K132" s="40">
        <f ca="1">SUM(FN!F132)</f>
        <v>0</v>
      </c>
      <c r="L132" s="40">
        <f ca="1">SUM(FN!G132)</f>
        <v>0</v>
      </c>
      <c r="M132" s="40">
        <f ca="1">SUM(FN!H132)</f>
        <v>0</v>
      </c>
      <c r="N132" s="40">
        <f ca="1">SUM('AC-SVC'!H132)</f>
        <v>0</v>
      </c>
      <c r="O132" s="40">
        <f ca="1">SUM(FS!C132)</f>
        <v>0</v>
      </c>
      <c r="P132" s="40">
        <f ca="1">SUM('AC-SVC'!C132)</f>
        <v>0</v>
      </c>
      <c r="Q132" s="40">
        <f ca="1">SUM(HR!C132)</f>
        <v>0</v>
      </c>
      <c r="R132" s="40">
        <f ca="1">SUM(IT!C132)</f>
        <v>0</v>
      </c>
      <c r="S132" s="39"/>
      <c r="T132" s="66">
        <f t="shared" si="24"/>
        <v>0</v>
      </c>
    </row>
    <row r="133" spans="1:20">
      <c r="B133" s="10" t="s">
        <v>250</v>
      </c>
      <c r="C133" s="39">
        <f>SUM(C125:C132)</f>
        <v>0</v>
      </c>
      <c r="D133" s="39">
        <f t="shared" ref="D133:R133" si="25">SUM(D125:D132)</f>
        <v>0</v>
      </c>
      <c r="E133" s="39">
        <f t="shared" si="25"/>
        <v>0</v>
      </c>
      <c r="F133" s="39">
        <f t="shared" si="25"/>
        <v>0</v>
      </c>
      <c r="G133" s="39">
        <f t="shared" si="25"/>
        <v>0</v>
      </c>
      <c r="H133" s="39">
        <f t="shared" si="25"/>
        <v>0</v>
      </c>
      <c r="I133" s="39">
        <f t="shared" si="25"/>
        <v>0</v>
      </c>
      <c r="J133" s="39">
        <f t="shared" si="25"/>
        <v>720</v>
      </c>
      <c r="K133" s="39">
        <f>SUM(K125:K132)</f>
        <v>0</v>
      </c>
      <c r="L133" s="39">
        <f>SUM(L125:L132)</f>
        <v>0</v>
      </c>
      <c r="M133" s="39">
        <f>SUM(M125:M132)</f>
        <v>0</v>
      </c>
      <c r="N133" s="39">
        <f t="shared" si="25"/>
        <v>0</v>
      </c>
      <c r="O133" s="39">
        <f t="shared" si="25"/>
        <v>0</v>
      </c>
      <c r="P133" s="39">
        <f>SUM(P125:P132)</f>
        <v>0</v>
      </c>
      <c r="Q133" s="39">
        <f t="shared" si="25"/>
        <v>0</v>
      </c>
      <c r="R133" s="39">
        <f t="shared" si="25"/>
        <v>0</v>
      </c>
      <c r="S133" s="39"/>
      <c r="T133" s="57">
        <f>SUM(T125:T132)</f>
        <v>720</v>
      </c>
    </row>
    <row r="134" spans="1:20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57"/>
    </row>
    <row r="135" spans="1:20">
      <c r="A135" s="10" t="s">
        <v>251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57"/>
    </row>
    <row r="136" spans="1:20">
      <c r="A136" s="10" t="s">
        <v>252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57"/>
    </row>
    <row r="137" spans="1:20">
      <c r="A137" s="10" t="s">
        <v>63</v>
      </c>
      <c r="B137" s="10" t="s">
        <v>253</v>
      </c>
      <c r="C137" s="39">
        <f>11148*1.25+8749*1.25</f>
        <v>24871.25</v>
      </c>
      <c r="D137" s="61">
        <f ca="1">SUM(DID!C137)</f>
        <v>0</v>
      </c>
      <c r="E137" s="61">
        <f ca="1">SUM(DID!D137)</f>
        <v>0</v>
      </c>
      <c r="F137" s="61">
        <f ca="1">SUM(DID!E137)</f>
        <v>0</v>
      </c>
      <c r="G137" s="61">
        <f ca="1">SUM(FC!C137)</f>
        <v>0</v>
      </c>
      <c r="H137" s="61">
        <f ca="1">SUM(FN!C137)</f>
        <v>0</v>
      </c>
      <c r="I137" s="61">
        <f ca="1">SUM(FN!D137)</f>
        <v>0</v>
      </c>
      <c r="J137" s="61">
        <f ca="1">SUM(FN!E137)</f>
        <v>0</v>
      </c>
      <c r="K137" s="61">
        <f ca="1">SUM(FN!F137)</f>
        <v>0</v>
      </c>
      <c r="L137" s="61">
        <f ca="1">SUM(FN!G137)</f>
        <v>0</v>
      </c>
      <c r="M137" s="61">
        <f ca="1">SUM(FN!H137)</f>
        <v>0</v>
      </c>
      <c r="N137" s="61">
        <f ca="1">SUM('AC-SVC'!H137)</f>
        <v>0</v>
      </c>
      <c r="O137" s="61">
        <f ca="1">SUM(FS!C137)</f>
        <v>0</v>
      </c>
      <c r="P137" s="61">
        <f ca="1">SUM('AC-SVC'!C137)</f>
        <v>0</v>
      </c>
      <c r="Q137" s="61">
        <f ca="1">SUM(HR!C137)</f>
        <v>0</v>
      </c>
      <c r="R137" s="61">
        <f ca="1">SUM(IT!C137)</f>
        <v>0</v>
      </c>
      <c r="S137" s="39"/>
      <c r="T137" s="67">
        <f>SUM(C137:R137)</f>
        <v>24871.25</v>
      </c>
    </row>
    <row r="138" spans="1:20">
      <c r="A138" s="10" t="s">
        <v>64</v>
      </c>
      <c r="B138" s="10" t="s">
        <v>254</v>
      </c>
      <c r="C138" s="39"/>
      <c r="D138" s="61">
        <f ca="1">SUM(DID!C138)</f>
        <v>0</v>
      </c>
      <c r="E138" s="61">
        <f ca="1">SUM(DID!D138)</f>
        <v>0</v>
      </c>
      <c r="F138" s="61">
        <f ca="1">SUM(DID!E138)</f>
        <v>0</v>
      </c>
      <c r="G138" s="61">
        <f ca="1">SUM(FC!C138)</f>
        <v>0</v>
      </c>
      <c r="H138" s="61">
        <f ca="1">SUM(FN!C138)</f>
        <v>0</v>
      </c>
      <c r="I138" s="61">
        <f ca="1">SUM(FN!D138)</f>
        <v>0</v>
      </c>
      <c r="J138" s="61">
        <f ca="1">SUM(FN!E138)</f>
        <v>0</v>
      </c>
      <c r="K138" s="61">
        <f ca="1">SUM(FN!F138)</f>
        <v>0</v>
      </c>
      <c r="L138" s="61">
        <f ca="1">SUM(FN!G138)</f>
        <v>0</v>
      </c>
      <c r="M138" s="61">
        <f ca="1">SUM(FN!H138)</f>
        <v>0</v>
      </c>
      <c r="N138" s="61">
        <f ca="1">SUM('AC-SVC'!H138)</f>
        <v>0</v>
      </c>
      <c r="O138" s="61">
        <f ca="1">SUM(FS!C138)</f>
        <v>0</v>
      </c>
      <c r="P138" s="61">
        <f ca="1">SUM('AC-SVC'!C138)</f>
        <v>0</v>
      </c>
      <c r="Q138" s="61">
        <f ca="1">SUM(HR!C138)</f>
        <v>0</v>
      </c>
      <c r="R138" s="61">
        <f ca="1">SUM(IT!C138)</f>
        <v>0</v>
      </c>
      <c r="S138" s="39"/>
      <c r="T138" s="67">
        <f>SUM(C138:R138)</f>
        <v>0</v>
      </c>
    </row>
    <row r="139" spans="1:20">
      <c r="A139" s="10" t="s">
        <v>454</v>
      </c>
      <c r="B139" s="10" t="s">
        <v>455</v>
      </c>
      <c r="C139" s="39"/>
      <c r="D139" s="61">
        <f ca="1">SUM(DID!C139)</f>
        <v>0</v>
      </c>
      <c r="E139" s="61">
        <f ca="1">SUM(DID!D139)</f>
        <v>0</v>
      </c>
      <c r="F139" s="61">
        <f ca="1">SUM(DID!E139)</f>
        <v>0</v>
      </c>
      <c r="G139" s="61">
        <f ca="1">SUM(FC!C139)</f>
        <v>3596.25</v>
      </c>
      <c r="H139" s="61">
        <f ca="1">SUM(FN!C139)</f>
        <v>0</v>
      </c>
      <c r="I139" s="61">
        <f ca="1">SUM(FN!D139)</f>
        <v>0</v>
      </c>
      <c r="J139" s="61">
        <f ca="1">SUM(FN!E139)</f>
        <v>0</v>
      </c>
      <c r="K139" s="61">
        <f ca="1">SUM(FN!F139)</f>
        <v>0</v>
      </c>
      <c r="L139" s="61">
        <f ca="1">SUM(FN!G139)</f>
        <v>0</v>
      </c>
      <c r="M139" s="61">
        <f ca="1">SUM(FN!H139)</f>
        <v>0</v>
      </c>
      <c r="N139" s="61">
        <f ca="1">SUM('AC-SVC'!H139)</f>
        <v>0</v>
      </c>
      <c r="O139" s="61">
        <f ca="1">SUM(FS!C139)</f>
        <v>3603.6000000000004</v>
      </c>
      <c r="P139" s="61">
        <f ca="1">SUM('AC-SVC'!C139)</f>
        <v>0</v>
      </c>
      <c r="Q139" s="61">
        <f ca="1">SUM(HR!C139)</f>
        <v>0</v>
      </c>
      <c r="R139" s="61">
        <f ca="1">SUM(IT!C139)</f>
        <v>0</v>
      </c>
      <c r="S139" s="39"/>
      <c r="T139" s="67">
        <f>SUM(C139:R139)</f>
        <v>7199.85</v>
      </c>
    </row>
    <row r="140" spans="1:20">
      <c r="A140" s="10" t="s">
        <v>65</v>
      </c>
      <c r="B140" s="10" t="s">
        <v>255</v>
      </c>
      <c r="C140" s="40">
        <f>6200-2000</f>
        <v>4200</v>
      </c>
      <c r="D140" s="40">
        <f ca="1">SUM(DID!C140)</f>
        <v>0</v>
      </c>
      <c r="E140" s="40">
        <f ca="1">SUM(DID!D140)</f>
        <v>0</v>
      </c>
      <c r="F140" s="40">
        <f ca="1">SUM(DID!E140)</f>
        <v>0</v>
      </c>
      <c r="G140" s="40">
        <f ca="1">SUM(FC!C140)</f>
        <v>0</v>
      </c>
      <c r="H140" s="40">
        <f ca="1">SUM(FN!C140)</f>
        <v>0</v>
      </c>
      <c r="I140" s="40">
        <f ca="1">SUM(FN!D140)</f>
        <v>0</v>
      </c>
      <c r="J140" s="40">
        <f ca="1">SUM(FN!E140)</f>
        <v>0</v>
      </c>
      <c r="K140" s="40">
        <f ca="1">SUM(FN!F140)</f>
        <v>0</v>
      </c>
      <c r="L140" s="40">
        <f ca="1">SUM(FN!G140)</f>
        <v>0</v>
      </c>
      <c r="M140" s="40">
        <f ca="1">SUM(FN!H140)</f>
        <v>0</v>
      </c>
      <c r="N140" s="40">
        <f ca="1">SUM('AC-SVC'!H140)</f>
        <v>0</v>
      </c>
      <c r="O140" s="40">
        <f ca="1">SUM(FS!C140)</f>
        <v>0</v>
      </c>
      <c r="P140" s="40">
        <f ca="1">SUM('AC-SVC'!C140)</f>
        <v>0</v>
      </c>
      <c r="Q140" s="40">
        <f ca="1">SUM(HR!C140)</f>
        <v>0</v>
      </c>
      <c r="R140" s="40">
        <f ca="1">SUM(IT!C140)</f>
        <v>0</v>
      </c>
      <c r="S140" s="39"/>
      <c r="T140" s="66">
        <f>SUM(C140:R140)</f>
        <v>4200</v>
      </c>
    </row>
    <row r="141" spans="1:20">
      <c r="B141" s="10" t="s">
        <v>256</v>
      </c>
      <c r="C141" s="39">
        <f>SUM(C137:C140)</f>
        <v>29071.25</v>
      </c>
      <c r="D141" s="39">
        <f t="shared" ref="D141:R141" si="26">SUM(D137:D140)</f>
        <v>0</v>
      </c>
      <c r="E141" s="39">
        <f t="shared" si="26"/>
        <v>0</v>
      </c>
      <c r="F141" s="39">
        <f t="shared" si="26"/>
        <v>0</v>
      </c>
      <c r="G141" s="39">
        <f t="shared" si="26"/>
        <v>3596.25</v>
      </c>
      <c r="H141" s="39">
        <f t="shared" si="26"/>
        <v>0</v>
      </c>
      <c r="I141" s="39">
        <f t="shared" si="26"/>
        <v>0</v>
      </c>
      <c r="J141" s="39">
        <f t="shared" si="26"/>
        <v>0</v>
      </c>
      <c r="K141" s="39">
        <f>SUM(K137:K140)</f>
        <v>0</v>
      </c>
      <c r="L141" s="39">
        <f>SUM(L137:L140)</f>
        <v>0</v>
      </c>
      <c r="M141" s="39">
        <f>SUM(M137:M140)</f>
        <v>0</v>
      </c>
      <c r="N141" s="39">
        <f t="shared" si="26"/>
        <v>0</v>
      </c>
      <c r="O141" s="39">
        <f t="shared" si="26"/>
        <v>3603.6000000000004</v>
      </c>
      <c r="P141" s="39">
        <f>SUM(P137:P140)</f>
        <v>0</v>
      </c>
      <c r="Q141" s="39">
        <f t="shared" si="26"/>
        <v>0</v>
      </c>
      <c r="R141" s="39">
        <f t="shared" si="26"/>
        <v>0</v>
      </c>
      <c r="S141" s="39"/>
      <c r="T141" s="57">
        <f>SUM(T137:T140)</f>
        <v>36271.1</v>
      </c>
    </row>
    <row r="142" spans="1:20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57"/>
    </row>
    <row r="143" spans="1:20">
      <c r="A143" s="10" t="s">
        <v>257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57"/>
    </row>
    <row r="144" spans="1:20">
      <c r="A144" s="10" t="s">
        <v>66</v>
      </c>
      <c r="B144" s="10" t="s">
        <v>258</v>
      </c>
      <c r="C144" s="39"/>
      <c r="D144" s="61">
        <f ca="1">SUM(DID!C144)</f>
        <v>0</v>
      </c>
      <c r="E144" s="61">
        <f ca="1">SUM(DID!D144)</f>
        <v>0</v>
      </c>
      <c r="F144" s="61">
        <f ca="1">SUM(DID!E144)</f>
        <v>0</v>
      </c>
      <c r="G144" s="61">
        <f ca="1">SUM(FC!C144)</f>
        <v>0</v>
      </c>
      <c r="H144" s="61">
        <f ca="1">SUM(FN!C144)</f>
        <v>0</v>
      </c>
      <c r="I144" s="61">
        <f ca="1">SUM(FN!D144)</f>
        <v>0</v>
      </c>
      <c r="J144" s="61">
        <f ca="1">SUM(FN!E144)</f>
        <v>0</v>
      </c>
      <c r="K144" s="61">
        <f ca="1">SUM(FN!F144)</f>
        <v>0</v>
      </c>
      <c r="L144" s="61">
        <f ca="1">SUM(FN!G144)</f>
        <v>0</v>
      </c>
      <c r="M144" s="61">
        <f ca="1">SUM(FN!H144)</f>
        <v>0</v>
      </c>
      <c r="N144" s="61">
        <f ca="1">SUM('AC-SVC'!H144)</f>
        <v>0</v>
      </c>
      <c r="O144" s="61">
        <f ca="1">SUM(FS!C144)</f>
        <v>0</v>
      </c>
      <c r="P144" s="61">
        <f ca="1">SUM('AC-SVC'!C144)</f>
        <v>0</v>
      </c>
      <c r="Q144" s="61">
        <f ca="1">SUM(HR!C144)</f>
        <v>0</v>
      </c>
      <c r="R144" s="61">
        <f ca="1">SUM(IT!C144)</f>
        <v>5248.8</v>
      </c>
      <c r="S144" s="39"/>
      <c r="T144" s="67">
        <f t="shared" ref="T144:T149" si="27">SUM(C144:R144)</f>
        <v>5248.8</v>
      </c>
    </row>
    <row r="145" spans="1:20">
      <c r="A145" s="10" t="s">
        <v>67</v>
      </c>
      <c r="B145" s="10" t="s">
        <v>259</v>
      </c>
      <c r="C145" s="39"/>
      <c r="D145" s="61">
        <f ca="1">SUM(DID!C145)</f>
        <v>0</v>
      </c>
      <c r="E145" s="61">
        <f ca="1">SUM(DID!D145)</f>
        <v>0</v>
      </c>
      <c r="F145" s="61">
        <f ca="1">SUM(DID!E145)</f>
        <v>0</v>
      </c>
      <c r="G145" s="61">
        <f ca="1">SUM(FC!C145)</f>
        <v>0</v>
      </c>
      <c r="H145" s="61">
        <f ca="1">SUM(FN!C145)</f>
        <v>0</v>
      </c>
      <c r="I145" s="61">
        <f ca="1">SUM(FN!D145)</f>
        <v>0</v>
      </c>
      <c r="J145" s="61">
        <f ca="1">SUM(FN!E145)</f>
        <v>0</v>
      </c>
      <c r="K145" s="61">
        <f ca="1">SUM(FN!F145)</f>
        <v>0</v>
      </c>
      <c r="L145" s="61">
        <f ca="1">SUM(FN!G145)</f>
        <v>0</v>
      </c>
      <c r="M145" s="61">
        <f ca="1">SUM(FN!H145)</f>
        <v>0</v>
      </c>
      <c r="N145" s="61">
        <f ca="1">SUM('AC-SVC'!H145)</f>
        <v>0</v>
      </c>
      <c r="O145" s="61">
        <f ca="1">SUM(FS!C145)</f>
        <v>0</v>
      </c>
      <c r="P145" s="61">
        <f ca="1">SUM('AC-SVC'!C145)</f>
        <v>0</v>
      </c>
      <c r="Q145" s="61">
        <f ca="1">SUM(HR!C145)</f>
        <v>0</v>
      </c>
      <c r="R145" s="61">
        <f ca="1">SUM(IT!C145)</f>
        <v>0</v>
      </c>
      <c r="S145" s="39"/>
      <c r="T145" s="67">
        <f t="shared" si="27"/>
        <v>0</v>
      </c>
    </row>
    <row r="146" spans="1:20">
      <c r="A146" s="10" t="s">
        <v>68</v>
      </c>
      <c r="B146" s="10" t="s">
        <v>260</v>
      </c>
      <c r="C146" s="39">
        <f>65*12+55*12</f>
        <v>1440</v>
      </c>
      <c r="D146" s="61">
        <f ca="1">SUM(DID!C146)</f>
        <v>720</v>
      </c>
      <c r="E146" s="61">
        <f ca="1">SUM(DID!D146)</f>
        <v>720</v>
      </c>
      <c r="F146" s="61">
        <f ca="1">SUM(DID!E146)</f>
        <v>720</v>
      </c>
      <c r="G146" s="61">
        <f ca="1">SUM(FC!C146)</f>
        <v>780</v>
      </c>
      <c r="H146" s="61">
        <f ca="1">SUM(FN!C146)</f>
        <v>0</v>
      </c>
      <c r="I146" s="61">
        <f ca="1">SUM(FN!D146)</f>
        <v>660</v>
      </c>
      <c r="J146" s="61">
        <f ca="1">SUM(FN!E146)</f>
        <v>660</v>
      </c>
      <c r="K146" s="61">
        <f ca="1">SUM(FN!F146)</f>
        <v>0</v>
      </c>
      <c r="L146" s="61">
        <f ca="1">SUM(FN!G146)</f>
        <v>0</v>
      </c>
      <c r="M146" s="61">
        <f ca="1">SUM(FN!H146)</f>
        <v>0</v>
      </c>
      <c r="N146" s="61">
        <f ca="1">SUM('AC-SVC'!H146)</f>
        <v>660</v>
      </c>
      <c r="O146" s="61">
        <f ca="1">SUM(FS!C146)</f>
        <v>660</v>
      </c>
      <c r="P146" s="61">
        <f ca="1">SUM('AC-SVC'!C146)</f>
        <v>0</v>
      </c>
      <c r="Q146" s="61">
        <f ca="1">SUM(HR!C146)</f>
        <v>1320</v>
      </c>
      <c r="R146" s="61">
        <f ca="1">SUM(IT!C146)</f>
        <v>192</v>
      </c>
      <c r="S146" s="39"/>
      <c r="T146" s="67">
        <f t="shared" si="27"/>
        <v>8532</v>
      </c>
    </row>
    <row r="147" spans="1:20">
      <c r="A147" s="10" t="s">
        <v>69</v>
      </c>
      <c r="B147" s="10" t="s">
        <v>261</v>
      </c>
      <c r="C147" s="39"/>
      <c r="D147" s="61">
        <f ca="1">SUM(DID!C147)</f>
        <v>0</v>
      </c>
      <c r="E147" s="61">
        <f ca="1">SUM(DID!D147)</f>
        <v>0</v>
      </c>
      <c r="F147" s="61">
        <f ca="1">SUM(DID!E147)</f>
        <v>0</v>
      </c>
      <c r="G147" s="61">
        <f ca="1">SUM(FC!C147)</f>
        <v>0</v>
      </c>
      <c r="H147" s="61">
        <f ca="1">SUM(FN!C147)</f>
        <v>0</v>
      </c>
      <c r="I147" s="61">
        <f ca="1">SUM(FN!D147)</f>
        <v>0</v>
      </c>
      <c r="J147" s="61">
        <f ca="1">SUM(FN!E147)</f>
        <v>0</v>
      </c>
      <c r="K147" s="61">
        <f ca="1">SUM(FN!F147)</f>
        <v>0</v>
      </c>
      <c r="L147" s="61">
        <f ca="1">SUM(FN!G147)</f>
        <v>0</v>
      </c>
      <c r="M147" s="61">
        <f ca="1">SUM(FN!H147)</f>
        <v>0</v>
      </c>
      <c r="N147" s="61">
        <f ca="1">SUM('AC-SVC'!H147)</f>
        <v>0</v>
      </c>
      <c r="O147" s="61">
        <f ca="1">SUM(FS!C147)</f>
        <v>0</v>
      </c>
      <c r="P147" s="61">
        <f ca="1">SUM('AC-SVC'!C147)</f>
        <v>0</v>
      </c>
      <c r="Q147" s="61">
        <f ca="1">SUM(HR!C147)</f>
        <v>0</v>
      </c>
      <c r="R147" s="61">
        <f ca="1">SUM(IT!C147)</f>
        <v>2640</v>
      </c>
      <c r="S147" s="39"/>
      <c r="T147" s="67">
        <f t="shared" si="27"/>
        <v>2640</v>
      </c>
    </row>
    <row r="148" spans="1:20" ht="12" customHeight="1">
      <c r="A148" s="10" t="s">
        <v>70</v>
      </c>
      <c r="B148" s="10" t="s">
        <v>262</v>
      </c>
      <c r="C148" s="39"/>
      <c r="D148" s="61">
        <f ca="1">SUM(DID!C148)</f>
        <v>0</v>
      </c>
      <c r="E148" s="61">
        <f ca="1">SUM(DID!D148)</f>
        <v>0</v>
      </c>
      <c r="F148" s="61">
        <f ca="1">SUM(DID!E148)</f>
        <v>0</v>
      </c>
      <c r="G148" s="61">
        <f ca="1">SUM(FC!C148)</f>
        <v>0</v>
      </c>
      <c r="H148" s="61">
        <f ca="1">SUM(FN!C148)</f>
        <v>2246</v>
      </c>
      <c r="I148" s="61">
        <f ca="1">SUM(FN!D148)</f>
        <v>0</v>
      </c>
      <c r="J148" s="61">
        <f ca="1">SUM(FN!E148)</f>
        <v>0</v>
      </c>
      <c r="K148" s="61">
        <f ca="1">SUM(FN!F148)</f>
        <v>1080</v>
      </c>
      <c r="L148" s="61">
        <f ca="1">SUM(FN!G148)</f>
        <v>0</v>
      </c>
      <c r="M148" s="61">
        <f ca="1">SUM(FN!H148)</f>
        <v>0</v>
      </c>
      <c r="N148" s="61">
        <f ca="1">SUM('AC-SVC'!H148)</f>
        <v>0</v>
      </c>
      <c r="O148" s="61">
        <f ca="1">SUM(FS!C148)</f>
        <v>0</v>
      </c>
      <c r="P148" s="61">
        <f ca="1">SUM('AC-SVC'!C148)</f>
        <v>0</v>
      </c>
      <c r="Q148" s="61">
        <f ca="1">SUM(HR!C148)</f>
        <v>150</v>
      </c>
      <c r="R148" s="61">
        <f ca="1">SUM(IT!C148)</f>
        <v>0</v>
      </c>
      <c r="S148" s="39"/>
      <c r="T148" s="67">
        <f t="shared" si="27"/>
        <v>3476</v>
      </c>
    </row>
    <row r="149" spans="1:20">
      <c r="A149" s="10" t="s">
        <v>462</v>
      </c>
      <c r="B149" s="10" t="s">
        <v>464</v>
      </c>
      <c r="C149" s="40"/>
      <c r="D149" s="40">
        <f ca="1">SUM(DID!C149)</f>
        <v>0</v>
      </c>
      <c r="E149" s="40">
        <f ca="1">SUM(DID!D149)</f>
        <v>0</v>
      </c>
      <c r="F149" s="40">
        <f ca="1">SUM(DID!E149)</f>
        <v>0</v>
      </c>
      <c r="G149" s="40">
        <f ca="1">SUM(FC!C149)</f>
        <v>0</v>
      </c>
      <c r="H149" s="40">
        <f ca="1">SUM(FN!C149)</f>
        <v>0</v>
      </c>
      <c r="I149" s="40">
        <f ca="1">SUM(FN!D149)</f>
        <v>0</v>
      </c>
      <c r="J149" s="40">
        <f ca="1">SUM(FN!E149)</f>
        <v>3200</v>
      </c>
      <c r="K149" s="40">
        <f ca="1">SUM(FN!F149)</f>
        <v>0</v>
      </c>
      <c r="L149" s="40">
        <f ca="1">SUM(FN!G149)</f>
        <v>0</v>
      </c>
      <c r="M149" s="40">
        <f ca="1">SUM(FN!H149)</f>
        <v>0</v>
      </c>
      <c r="N149" s="40">
        <f ca="1">SUM('AC-SVC'!H149)</f>
        <v>0</v>
      </c>
      <c r="O149" s="40">
        <f ca="1">SUM(FS!C149)</f>
        <v>0</v>
      </c>
      <c r="P149" s="40">
        <f ca="1">SUM('AC-SVC'!C149)</f>
        <v>0</v>
      </c>
      <c r="Q149" s="40">
        <f ca="1">SUM(HR!C149)</f>
        <v>660</v>
      </c>
      <c r="R149" s="40">
        <f ca="1">SUM(IT!C149)</f>
        <v>2445.5</v>
      </c>
      <c r="S149" s="39"/>
      <c r="T149" s="66">
        <f t="shared" si="27"/>
        <v>6305.5</v>
      </c>
    </row>
    <row r="150" spans="1:20">
      <c r="B150" s="10" t="s">
        <v>263</v>
      </c>
      <c r="C150" s="39">
        <f>SUM(C144:C149)</f>
        <v>1440</v>
      </c>
      <c r="D150" s="39">
        <f t="shared" ref="D150:R150" si="28">SUM(D144:D149)</f>
        <v>720</v>
      </c>
      <c r="E150" s="39">
        <f t="shared" si="28"/>
        <v>720</v>
      </c>
      <c r="F150" s="39">
        <f t="shared" si="28"/>
        <v>720</v>
      </c>
      <c r="G150" s="39">
        <f t="shared" si="28"/>
        <v>780</v>
      </c>
      <c r="H150" s="39">
        <f t="shared" si="28"/>
        <v>2246</v>
      </c>
      <c r="I150" s="39">
        <f t="shared" si="28"/>
        <v>660</v>
      </c>
      <c r="J150" s="39">
        <f t="shared" si="28"/>
        <v>3860</v>
      </c>
      <c r="K150" s="39">
        <f>SUM(K144:K149)</f>
        <v>1080</v>
      </c>
      <c r="L150" s="39">
        <f>SUM(L144:L149)</f>
        <v>0</v>
      </c>
      <c r="M150" s="39">
        <f>SUM(M144:M149)</f>
        <v>0</v>
      </c>
      <c r="N150" s="39">
        <f t="shared" si="28"/>
        <v>660</v>
      </c>
      <c r="O150" s="39">
        <f t="shared" si="28"/>
        <v>660</v>
      </c>
      <c r="P150" s="39">
        <f>SUM(P144:P149)</f>
        <v>0</v>
      </c>
      <c r="Q150" s="39">
        <f t="shared" si="28"/>
        <v>2130</v>
      </c>
      <c r="R150" s="39">
        <f t="shared" si="28"/>
        <v>10526.3</v>
      </c>
      <c r="S150" s="39"/>
      <c r="T150" s="57">
        <f>SUM(T144:T149)</f>
        <v>26202.3</v>
      </c>
    </row>
    <row r="151" spans="1:20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57"/>
    </row>
    <row r="152" spans="1:20">
      <c r="A152" s="10" t="s">
        <v>264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57"/>
    </row>
    <row r="153" spans="1:20">
      <c r="A153" s="10" t="s">
        <v>265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57"/>
    </row>
    <row r="154" spans="1:20">
      <c r="A154" s="10" t="s">
        <v>71</v>
      </c>
      <c r="B154" s="10" t="s">
        <v>72</v>
      </c>
      <c r="C154" s="40">
        <v>12000</v>
      </c>
      <c r="D154" s="40">
        <f ca="1">SUM(DID!C154)</f>
        <v>1000</v>
      </c>
      <c r="E154" s="40">
        <f ca="1">SUM(DID!D154)</f>
        <v>750</v>
      </c>
      <c r="F154" s="40">
        <f ca="1">SUM(DID!E154)</f>
        <v>750</v>
      </c>
      <c r="G154" s="40">
        <f ca="1">SUM(FC!C154)</f>
        <v>1000</v>
      </c>
      <c r="H154" s="40">
        <f ca="1">SUM(FN!C154)</f>
        <v>2250</v>
      </c>
      <c r="I154" s="40">
        <f ca="1">SUM(FN!D154)</f>
        <v>600</v>
      </c>
      <c r="J154" s="40">
        <f ca="1">SUM(FN!E154)</f>
        <v>500</v>
      </c>
      <c r="K154" s="40">
        <f ca="1">SUM(FN!F154)</f>
        <v>200</v>
      </c>
      <c r="L154" s="40">
        <f ca="1">SUM(FN!G154)</f>
        <v>100</v>
      </c>
      <c r="M154" s="40">
        <f ca="1">SUM(FN!H154)</f>
        <v>100</v>
      </c>
      <c r="N154" s="40">
        <f ca="1">SUM('AC-SVC'!H154)</f>
        <v>1500</v>
      </c>
      <c r="O154" s="40">
        <f ca="1">SUM(FS!C154)</f>
        <v>1750</v>
      </c>
      <c r="P154" s="40">
        <f ca="1">SUM('AC-SVC'!C154)</f>
        <v>500</v>
      </c>
      <c r="Q154" s="40">
        <f ca="1">SUM(HR!C154)</f>
        <v>2500</v>
      </c>
      <c r="R154" s="40">
        <f ca="1">SUM(IT!C154)</f>
        <v>250</v>
      </c>
      <c r="S154" s="39"/>
      <c r="T154" s="66">
        <f>SUM(C154:R154)</f>
        <v>25750</v>
      </c>
    </row>
    <row r="155" spans="1:20">
      <c r="B155" s="10" t="s">
        <v>266</v>
      </c>
      <c r="C155" s="39">
        <f>SUM(C154)</f>
        <v>12000</v>
      </c>
      <c r="D155" s="39">
        <f t="shared" ref="D155:R155" si="29">SUM(D154)</f>
        <v>1000</v>
      </c>
      <c r="E155" s="39">
        <f t="shared" si="29"/>
        <v>750</v>
      </c>
      <c r="F155" s="39">
        <f t="shared" si="29"/>
        <v>750</v>
      </c>
      <c r="G155" s="39">
        <f t="shared" si="29"/>
        <v>1000</v>
      </c>
      <c r="H155" s="39">
        <f t="shared" si="29"/>
        <v>2250</v>
      </c>
      <c r="I155" s="39">
        <f t="shared" si="29"/>
        <v>600</v>
      </c>
      <c r="J155" s="39">
        <f t="shared" si="29"/>
        <v>500</v>
      </c>
      <c r="K155" s="39">
        <f>SUM(K154)</f>
        <v>200</v>
      </c>
      <c r="L155" s="39">
        <f>SUM(L154)</f>
        <v>100</v>
      </c>
      <c r="M155" s="39">
        <f>SUM(M154)</f>
        <v>100</v>
      </c>
      <c r="N155" s="39">
        <f>SUM(N154)</f>
        <v>1500</v>
      </c>
      <c r="O155" s="39">
        <f t="shared" si="29"/>
        <v>1750</v>
      </c>
      <c r="P155" s="39">
        <f>SUM(P154)</f>
        <v>500</v>
      </c>
      <c r="Q155" s="39">
        <f t="shared" si="29"/>
        <v>2500</v>
      </c>
      <c r="R155" s="39">
        <f t="shared" si="29"/>
        <v>250</v>
      </c>
      <c r="S155" s="39"/>
      <c r="T155" s="57">
        <f>SUM(T154)</f>
        <v>25750</v>
      </c>
    </row>
    <row r="156" spans="1:20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57"/>
    </row>
    <row r="157" spans="1:20">
      <c r="A157" s="10" t="s">
        <v>267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57"/>
    </row>
    <row r="158" spans="1:20">
      <c r="A158" s="10" t="s">
        <v>73</v>
      </c>
      <c r="B158" s="10" t="s">
        <v>74</v>
      </c>
      <c r="C158" s="39">
        <v>24100</v>
      </c>
      <c r="D158" s="61">
        <f ca="1">SUM(DID!C158)</f>
        <v>1500</v>
      </c>
      <c r="E158" s="61">
        <f ca="1">SUM(DID!D158)</f>
        <v>3500</v>
      </c>
      <c r="F158" s="61">
        <f ca="1">SUM(DID!E158)</f>
        <v>4500</v>
      </c>
      <c r="G158" s="61">
        <f ca="1">SUM(FC!C158)</f>
        <v>0</v>
      </c>
      <c r="H158" s="61">
        <f ca="1">SUM(FN!C158)</f>
        <v>2690</v>
      </c>
      <c r="I158" s="61">
        <f ca="1">SUM(FN!D158)</f>
        <v>100</v>
      </c>
      <c r="J158" s="61">
        <f ca="1">SUM(FN!E158)</f>
        <v>100</v>
      </c>
      <c r="K158" s="61">
        <f ca="1">SUM(FN!F158)</f>
        <v>500</v>
      </c>
      <c r="L158" s="61">
        <f ca="1">SUM(FN!G158)</f>
        <v>150</v>
      </c>
      <c r="M158" s="61">
        <f ca="1">SUM(FN!H158)</f>
        <v>150</v>
      </c>
      <c r="N158" s="61">
        <f ca="1">SUM('AC-SVC'!H158)*N7</f>
        <v>250</v>
      </c>
      <c r="O158" s="61">
        <f ca="1">SUM(FS!C158)</f>
        <v>500</v>
      </c>
      <c r="P158" s="61">
        <f ca="1">SUM('AC-SVC'!C158)*P7</f>
        <v>865</v>
      </c>
      <c r="Q158" s="61">
        <f ca="1">SUM(HR!C158)</f>
        <v>750</v>
      </c>
      <c r="R158" s="61">
        <f ca="1">SUM(IT!C158)</f>
        <v>1000</v>
      </c>
      <c r="S158" s="39"/>
      <c r="T158" s="67">
        <f t="shared" ref="T158:T170" si="30">SUM(C158:R158)</f>
        <v>40655</v>
      </c>
    </row>
    <row r="159" spans="1:20">
      <c r="A159" s="10" t="s">
        <v>75</v>
      </c>
      <c r="B159" s="10" t="s">
        <v>154</v>
      </c>
      <c r="C159" s="39"/>
      <c r="D159" s="61">
        <f ca="1">SUM(DID!C159)</f>
        <v>0</v>
      </c>
      <c r="E159" s="61">
        <f ca="1">SUM(DID!D159)</f>
        <v>900</v>
      </c>
      <c r="F159" s="61">
        <f ca="1">SUM(DID!E159)</f>
        <v>0</v>
      </c>
      <c r="G159" s="61">
        <f ca="1">SUM(FC!C159)</f>
        <v>1500</v>
      </c>
      <c r="H159" s="61">
        <f ca="1">SUM(FN!C159)</f>
        <v>15000</v>
      </c>
      <c r="I159" s="61">
        <f ca="1">SUM(FN!D159)</f>
        <v>0</v>
      </c>
      <c r="J159" s="61">
        <f ca="1">SUM(FN!E159)</f>
        <v>6000</v>
      </c>
      <c r="K159" s="61">
        <f ca="1">SUM(FN!F159)</f>
        <v>0</v>
      </c>
      <c r="L159" s="61">
        <f ca="1">SUM(FN!G159)</f>
        <v>0</v>
      </c>
      <c r="M159" s="61">
        <f ca="1">SUM(FN!H159)</f>
        <v>0</v>
      </c>
      <c r="N159" s="61">
        <f ca="1">SUM('AC-SVC'!H159)</f>
        <v>0</v>
      </c>
      <c r="O159" s="61">
        <f ca="1">SUM(FS!C159)</f>
        <v>4000</v>
      </c>
      <c r="P159" s="61">
        <f ca="1">SUM('AC-SVC'!C159)</f>
        <v>0</v>
      </c>
      <c r="Q159" s="61">
        <f ca="1">SUM(HR!C159)</f>
        <v>0</v>
      </c>
      <c r="R159" s="61">
        <f ca="1">SUM(IT!C159)</f>
        <v>0</v>
      </c>
      <c r="S159" s="39"/>
      <c r="T159" s="67">
        <f t="shared" si="30"/>
        <v>27400</v>
      </c>
    </row>
    <row r="160" spans="1:20">
      <c r="A160" s="10" t="s">
        <v>846</v>
      </c>
      <c r="B160" s="10" t="s">
        <v>97</v>
      </c>
      <c r="C160" s="39"/>
      <c r="D160" s="61">
        <f ca="1">SUM(DID!C160)</f>
        <v>0</v>
      </c>
      <c r="E160" s="61">
        <f ca="1">SUM(DID!D160)</f>
        <v>0</v>
      </c>
      <c r="F160" s="61">
        <f ca="1">SUM(DID!E160)</f>
        <v>0</v>
      </c>
      <c r="G160" s="61">
        <f ca="1">SUM(FC!C160)</f>
        <v>0</v>
      </c>
      <c r="H160" s="61">
        <f ca="1">SUM(FN!C160)</f>
        <v>0</v>
      </c>
      <c r="I160" s="61">
        <f ca="1">SUM(FN!D160)</f>
        <v>0</v>
      </c>
      <c r="J160" s="61">
        <f ca="1">SUM(FN!E160)</f>
        <v>0</v>
      </c>
      <c r="K160" s="61">
        <f ca="1">SUM(FN!F160)</f>
        <v>0</v>
      </c>
      <c r="L160" s="61">
        <f ca="1">SUM(FN!G160)</f>
        <v>0</v>
      </c>
      <c r="M160" s="61">
        <f ca="1">SUM(FN!H160)</f>
        <v>0</v>
      </c>
      <c r="N160" s="61">
        <f ca="1">SUM('AC-SVC'!H160)</f>
        <v>0</v>
      </c>
      <c r="O160" s="61">
        <f ca="1">SUM(FS!C160)</f>
        <v>0</v>
      </c>
      <c r="P160" s="61">
        <f ca="1">SUM('AC-SVC'!C160)</f>
        <v>0</v>
      </c>
      <c r="Q160" s="61">
        <f ca="1">SUM(HR!C160)</f>
        <v>0</v>
      </c>
      <c r="R160" s="61">
        <f ca="1">SUM(IT!C160)</f>
        <v>0</v>
      </c>
      <c r="S160" s="39"/>
      <c r="T160" s="67">
        <f t="shared" si="30"/>
        <v>0</v>
      </c>
    </row>
    <row r="161" spans="1:20">
      <c r="A161" s="10" t="s">
        <v>847</v>
      </c>
      <c r="B161" s="10" t="s">
        <v>458</v>
      </c>
      <c r="C161" s="39"/>
      <c r="D161" s="61">
        <f ca="1">SUM(DID!C161)</f>
        <v>0</v>
      </c>
      <c r="E161" s="61">
        <f ca="1">SUM(DID!D161)</f>
        <v>0</v>
      </c>
      <c r="F161" s="61">
        <f ca="1">SUM(DID!E161)</f>
        <v>0</v>
      </c>
      <c r="G161" s="61">
        <f ca="1">SUM(FC!C161)</f>
        <v>0</v>
      </c>
      <c r="H161" s="61">
        <f ca="1">SUM(FN!C161)</f>
        <v>0</v>
      </c>
      <c r="I161" s="61">
        <f ca="1">SUM(FN!D161)</f>
        <v>0</v>
      </c>
      <c r="J161" s="61">
        <f ca="1">SUM(FN!E161)</f>
        <v>0</v>
      </c>
      <c r="K161" s="61">
        <f ca="1">SUM(FN!F161)</f>
        <v>0</v>
      </c>
      <c r="L161" s="61">
        <f ca="1">SUM(FN!G161)</f>
        <v>0</v>
      </c>
      <c r="M161" s="61">
        <f ca="1">SUM(FN!H161)</f>
        <v>0</v>
      </c>
      <c r="N161" s="61">
        <f ca="1">SUM('AC-SVC'!H161)</f>
        <v>0</v>
      </c>
      <c r="O161" s="61">
        <f ca="1">SUM(FS!C161)</f>
        <v>0</v>
      </c>
      <c r="P161" s="61">
        <f ca="1">SUM('AC-SVC'!C161)</f>
        <v>0</v>
      </c>
      <c r="Q161" s="61">
        <f ca="1">SUM(HR!C161)</f>
        <v>0</v>
      </c>
      <c r="R161" s="61">
        <f ca="1">SUM(IT!C161)</f>
        <v>240</v>
      </c>
      <c r="S161" s="39"/>
      <c r="T161" s="67">
        <f t="shared" si="30"/>
        <v>240</v>
      </c>
    </row>
    <row r="162" spans="1:20">
      <c r="A162" s="10" t="s">
        <v>492</v>
      </c>
      <c r="B162" s="10" t="s">
        <v>460</v>
      </c>
      <c r="C162" s="39"/>
      <c r="D162" s="61">
        <f ca="1">SUM(DID!C162)</f>
        <v>0</v>
      </c>
      <c r="E162" s="61">
        <f ca="1">SUM(DID!D162)</f>
        <v>0</v>
      </c>
      <c r="F162" s="61">
        <f ca="1">SUM(DID!E162)</f>
        <v>0</v>
      </c>
      <c r="G162" s="61">
        <f ca="1">SUM(FC!C162)</f>
        <v>1000</v>
      </c>
      <c r="H162" s="61">
        <f ca="1">SUM(FN!C162)</f>
        <v>3000</v>
      </c>
      <c r="I162" s="61">
        <f ca="1">SUM(FN!D162)</f>
        <v>2500</v>
      </c>
      <c r="J162" s="61">
        <f ca="1">SUM(FN!E162)</f>
        <v>0</v>
      </c>
      <c r="K162" s="61">
        <f ca="1">SUM(FN!F162)</f>
        <v>1250</v>
      </c>
      <c r="L162" s="61">
        <f ca="1">SUM(FN!G162)</f>
        <v>1250</v>
      </c>
      <c r="M162" s="61">
        <f ca="1">SUM(FN!H162)</f>
        <v>1250</v>
      </c>
      <c r="N162" s="61">
        <f ca="1">SUM('AC-SVC'!H162)</f>
        <v>0</v>
      </c>
      <c r="O162" s="61">
        <f ca="1">SUM(FS!C162)</f>
        <v>0</v>
      </c>
      <c r="P162" s="61">
        <f ca="1">SUM('AC-SVC'!C162)</f>
        <v>0</v>
      </c>
      <c r="Q162" s="61">
        <f ca="1">SUM(HR!C162)</f>
        <v>2000</v>
      </c>
      <c r="R162" s="61">
        <f ca="1">SUM(IT!C162)</f>
        <v>36263</v>
      </c>
      <c r="S162" s="39"/>
      <c r="T162" s="67">
        <f t="shared" si="30"/>
        <v>48513</v>
      </c>
    </row>
    <row r="163" spans="1:20">
      <c r="A163" s="10" t="s">
        <v>493</v>
      </c>
      <c r="B163" s="10" t="s">
        <v>453</v>
      </c>
      <c r="C163" s="39"/>
      <c r="D163" s="61">
        <f ca="1">SUM(DID!C163)</f>
        <v>0</v>
      </c>
      <c r="E163" s="61">
        <f ca="1">SUM(DID!D163)</f>
        <v>0</v>
      </c>
      <c r="F163" s="61">
        <f ca="1">SUM(DID!E163)</f>
        <v>0</v>
      </c>
      <c r="G163" s="61">
        <f ca="1">SUM(FC!C163)</f>
        <v>1200</v>
      </c>
      <c r="H163" s="61">
        <f ca="1">SUM(FN!C163)</f>
        <v>0</v>
      </c>
      <c r="I163" s="61">
        <f ca="1">SUM(FN!D163)</f>
        <v>0</v>
      </c>
      <c r="J163" s="61">
        <f ca="1">SUM(FN!E163)</f>
        <v>0</v>
      </c>
      <c r="K163" s="61">
        <f ca="1">SUM(FN!F163)</f>
        <v>0</v>
      </c>
      <c r="L163" s="61">
        <f ca="1">SUM(FN!G163)</f>
        <v>0</v>
      </c>
      <c r="M163" s="61">
        <f ca="1">SUM(FN!H163)</f>
        <v>0</v>
      </c>
      <c r="N163" s="61">
        <f ca="1">SUM('AC-SVC'!H163)</f>
        <v>0</v>
      </c>
      <c r="O163" s="61">
        <f ca="1">SUM(FS!C163)</f>
        <v>1000</v>
      </c>
      <c r="P163" s="61">
        <f ca="1">SUM('AC-SVC'!C163)</f>
        <v>0</v>
      </c>
      <c r="Q163" s="61">
        <f ca="1">SUM(HR!C163)</f>
        <v>0</v>
      </c>
      <c r="R163" s="61">
        <f ca="1">SUM(IT!C163)</f>
        <v>0</v>
      </c>
      <c r="S163" s="39"/>
      <c r="T163" s="67">
        <f t="shared" si="30"/>
        <v>2200</v>
      </c>
    </row>
    <row r="164" spans="1:20">
      <c r="A164" s="10" t="s">
        <v>76</v>
      </c>
      <c r="B164" s="10" t="s">
        <v>155</v>
      </c>
      <c r="C164" s="39"/>
      <c r="D164" s="61">
        <f ca="1">SUM(DID!C164)</f>
        <v>0</v>
      </c>
      <c r="E164" s="61">
        <f ca="1">SUM(DID!D164)</f>
        <v>0</v>
      </c>
      <c r="F164" s="61">
        <f ca="1">SUM(DID!E164)</f>
        <v>0</v>
      </c>
      <c r="G164" s="61">
        <f ca="1">SUM(FC!C164)</f>
        <v>0</v>
      </c>
      <c r="H164" s="61">
        <f ca="1">SUM(FN!C164)</f>
        <v>0</v>
      </c>
      <c r="I164" s="61">
        <f ca="1">SUM(FN!D164)</f>
        <v>0</v>
      </c>
      <c r="J164" s="61">
        <f ca="1">SUM(FN!E164)</f>
        <v>0</v>
      </c>
      <c r="K164" s="61">
        <f ca="1">SUM(FN!F164)</f>
        <v>0</v>
      </c>
      <c r="L164" s="61">
        <f ca="1">SUM(FN!G164)</f>
        <v>0</v>
      </c>
      <c r="M164" s="61">
        <f ca="1">SUM(FN!H164)</f>
        <v>0</v>
      </c>
      <c r="N164" s="61">
        <f ca="1">SUM('AC-SVC'!H164)</f>
        <v>0</v>
      </c>
      <c r="O164" s="61">
        <f ca="1">SUM(FS!C164)</f>
        <v>0</v>
      </c>
      <c r="P164" s="61">
        <f ca="1">SUM('AC-SVC'!C164)</f>
        <v>0</v>
      </c>
      <c r="Q164" s="61">
        <f ca="1">SUM(HR!C164)</f>
        <v>0</v>
      </c>
      <c r="R164" s="61">
        <f ca="1">SUM(IT!C164)</f>
        <v>0</v>
      </c>
      <c r="S164" s="39"/>
      <c r="T164" s="67">
        <f t="shared" si="30"/>
        <v>0</v>
      </c>
    </row>
    <row r="165" spans="1:20">
      <c r="A165" s="10" t="s">
        <v>79</v>
      </c>
      <c r="B165" s="10" t="s">
        <v>156</v>
      </c>
      <c r="C165" s="39"/>
      <c r="D165" s="61">
        <f ca="1">SUM(DID!C165)</f>
        <v>0</v>
      </c>
      <c r="E165" s="61">
        <f ca="1">SUM(DID!D165)</f>
        <v>0</v>
      </c>
      <c r="F165" s="61">
        <f ca="1">SUM(DID!E165)</f>
        <v>0</v>
      </c>
      <c r="G165" s="61">
        <f ca="1">SUM(FC!C165)</f>
        <v>0</v>
      </c>
      <c r="H165" s="61">
        <f ca="1">SUM(FN!C165)</f>
        <v>0</v>
      </c>
      <c r="I165" s="61">
        <f ca="1">SUM(FN!D165)</f>
        <v>0</v>
      </c>
      <c r="J165" s="61">
        <f ca="1">SUM(FN!E165)</f>
        <v>0</v>
      </c>
      <c r="K165" s="61">
        <f ca="1">SUM(FN!F165)</f>
        <v>0</v>
      </c>
      <c r="L165" s="61">
        <f ca="1">SUM(FN!G165)</f>
        <v>0</v>
      </c>
      <c r="M165" s="61">
        <f ca="1">SUM(FN!H165)</f>
        <v>0</v>
      </c>
      <c r="N165" s="61">
        <f ca="1">SUM('AC-SVC'!H165)</f>
        <v>0</v>
      </c>
      <c r="O165" s="61">
        <f ca="1">SUM(FS!C165)</f>
        <v>0</v>
      </c>
      <c r="P165" s="61">
        <f ca="1">SUM('AC-SVC'!C165)</f>
        <v>0</v>
      </c>
      <c r="Q165" s="61">
        <f ca="1">SUM(HR!C165)</f>
        <v>0</v>
      </c>
      <c r="R165" s="61">
        <f ca="1">SUM(IT!C165)</f>
        <v>0</v>
      </c>
      <c r="S165" s="39"/>
      <c r="T165" s="67">
        <f t="shared" si="30"/>
        <v>0</v>
      </c>
    </row>
    <row r="166" spans="1:20">
      <c r="A166" s="10" t="s">
        <v>78</v>
      </c>
      <c r="B166" s="10" t="s">
        <v>157</v>
      </c>
      <c r="C166" s="39"/>
      <c r="D166" s="61">
        <f ca="1">SUM(DID!C166)</f>
        <v>0</v>
      </c>
      <c r="E166" s="61">
        <f ca="1">SUM(DID!D166)</f>
        <v>0</v>
      </c>
      <c r="F166" s="61">
        <f ca="1">SUM(DID!E166)</f>
        <v>0</v>
      </c>
      <c r="G166" s="61">
        <f ca="1">SUM(FC!C166)</f>
        <v>0</v>
      </c>
      <c r="H166" s="61">
        <f ca="1">SUM(FN!C166)</f>
        <v>0</v>
      </c>
      <c r="I166" s="61">
        <f ca="1">SUM(FN!D166)</f>
        <v>0</v>
      </c>
      <c r="J166" s="61">
        <f ca="1">SUM(FN!E166)</f>
        <v>0</v>
      </c>
      <c r="K166" s="61">
        <f ca="1">SUM(FN!F166)</f>
        <v>0</v>
      </c>
      <c r="L166" s="61">
        <f ca="1">SUM(FN!G166)</f>
        <v>0</v>
      </c>
      <c r="M166" s="61">
        <f ca="1">SUM(FN!H166)</f>
        <v>0</v>
      </c>
      <c r="N166" s="61">
        <f ca="1">SUM('AC-SVC'!H166)</f>
        <v>0</v>
      </c>
      <c r="O166" s="61">
        <f ca="1">SUM(FS!C166)</f>
        <v>0</v>
      </c>
      <c r="P166" s="61">
        <f ca="1">SUM('AC-SVC'!C166)</f>
        <v>0</v>
      </c>
      <c r="Q166" s="61">
        <f ca="1">SUM(HR!C166)</f>
        <v>0</v>
      </c>
      <c r="R166" s="61">
        <f ca="1">SUM(IT!C166)</f>
        <v>0</v>
      </c>
      <c r="S166" s="39"/>
      <c r="T166" s="67">
        <f t="shared" si="30"/>
        <v>0</v>
      </c>
    </row>
    <row r="167" spans="1:20">
      <c r="A167" s="10" t="s">
        <v>77</v>
      </c>
      <c r="B167" s="10" t="s">
        <v>158</v>
      </c>
      <c r="C167" s="39"/>
      <c r="D167" s="61">
        <f ca="1">SUM(DID!C167)</f>
        <v>0</v>
      </c>
      <c r="E167" s="61">
        <f ca="1">SUM(DID!D167)</f>
        <v>0</v>
      </c>
      <c r="F167" s="61">
        <f ca="1">SUM(DID!E167)</f>
        <v>0</v>
      </c>
      <c r="G167" s="61">
        <f ca="1">SUM(FC!C167)</f>
        <v>0</v>
      </c>
      <c r="H167" s="61">
        <f ca="1">SUM(FN!C167)</f>
        <v>0</v>
      </c>
      <c r="I167" s="61">
        <f ca="1">SUM(FN!D167)</f>
        <v>0</v>
      </c>
      <c r="J167" s="61">
        <f ca="1">SUM(FN!E167)</f>
        <v>0</v>
      </c>
      <c r="K167" s="61">
        <f ca="1">SUM(FN!F167)</f>
        <v>0</v>
      </c>
      <c r="L167" s="61">
        <f ca="1">SUM(FN!G167)</f>
        <v>0</v>
      </c>
      <c r="M167" s="61">
        <f ca="1">SUM(FN!H167)</f>
        <v>0</v>
      </c>
      <c r="N167" s="61">
        <f ca="1">SUM('AC-SVC'!H167)*N7</f>
        <v>450</v>
      </c>
      <c r="O167" s="61">
        <f ca="1">SUM(FS!C167)</f>
        <v>0</v>
      </c>
      <c r="P167" s="61">
        <f ca="1">SUM('AC-SVC'!C167)</f>
        <v>0</v>
      </c>
      <c r="Q167" s="61">
        <f ca="1">SUM(HR!C167)</f>
        <v>0</v>
      </c>
      <c r="R167" s="61">
        <f ca="1">SUM(IT!C167)</f>
        <v>0</v>
      </c>
      <c r="S167" s="39"/>
      <c r="T167" s="67">
        <f t="shared" si="30"/>
        <v>450</v>
      </c>
    </row>
    <row r="168" spans="1:20">
      <c r="A168" s="10" t="s">
        <v>80</v>
      </c>
      <c r="B168" s="10" t="s">
        <v>159</v>
      </c>
      <c r="C168" s="39"/>
      <c r="D168" s="61">
        <f ca="1">SUM(DID!C168)</f>
        <v>0</v>
      </c>
      <c r="E168" s="61">
        <f ca="1">SUM(DID!D168)</f>
        <v>0</v>
      </c>
      <c r="F168" s="61">
        <f ca="1">SUM(DID!E168)</f>
        <v>0</v>
      </c>
      <c r="G168" s="61">
        <f ca="1">SUM(FC!C168)</f>
        <v>0</v>
      </c>
      <c r="H168" s="61">
        <f ca="1">SUM(FN!C168)</f>
        <v>0</v>
      </c>
      <c r="I168" s="61">
        <f ca="1">SUM(FN!D168)</f>
        <v>0</v>
      </c>
      <c r="J168" s="61">
        <f ca="1">SUM(FN!E168)</f>
        <v>0</v>
      </c>
      <c r="K168" s="61">
        <f ca="1">SUM(FN!F168)</f>
        <v>0</v>
      </c>
      <c r="L168" s="61">
        <f ca="1">SUM(FN!G168)</f>
        <v>0</v>
      </c>
      <c r="M168" s="61">
        <f ca="1">SUM(FN!H168)</f>
        <v>0</v>
      </c>
      <c r="N168" s="61">
        <f ca="1">SUM('AC-SVC'!H168)*N7</f>
        <v>300</v>
      </c>
      <c r="O168" s="61">
        <f ca="1">SUM(FS!C168)</f>
        <v>0</v>
      </c>
      <c r="P168" s="61">
        <f ca="1">SUM('AC-SVC'!C168)*P7</f>
        <v>700</v>
      </c>
      <c r="Q168" s="61">
        <f ca="1">SUM(HR!C168)</f>
        <v>0</v>
      </c>
      <c r="R168" s="61">
        <f ca="1">SUM(IT!C168)</f>
        <v>0</v>
      </c>
      <c r="S168" s="39"/>
      <c r="T168" s="67">
        <f t="shared" si="30"/>
        <v>1000</v>
      </c>
    </row>
    <row r="169" spans="1:20">
      <c r="A169" s="10" t="s">
        <v>81</v>
      </c>
      <c r="B169" s="10" t="s">
        <v>160</v>
      </c>
      <c r="C169" s="39">
        <v>300</v>
      </c>
      <c r="D169" s="61">
        <f ca="1">SUM(DID!C169)</f>
        <v>0</v>
      </c>
      <c r="E169" s="61">
        <f ca="1">SUM(DID!D169)</f>
        <v>0</v>
      </c>
      <c r="F169" s="61">
        <f ca="1">SUM(DID!E169)</f>
        <v>0</v>
      </c>
      <c r="G169" s="61">
        <f ca="1">SUM(FC!C169)</f>
        <v>0</v>
      </c>
      <c r="H169" s="61">
        <f ca="1">SUM(FN!C169)</f>
        <v>100</v>
      </c>
      <c r="I169" s="61">
        <f ca="1">SUM(FN!D169)</f>
        <v>250</v>
      </c>
      <c r="J169" s="61">
        <f ca="1">SUM(FN!E169)</f>
        <v>100</v>
      </c>
      <c r="K169" s="61">
        <f ca="1">SUM(FN!F169)</f>
        <v>50</v>
      </c>
      <c r="L169" s="61">
        <f ca="1">SUM(FN!G169)</f>
        <v>50</v>
      </c>
      <c r="M169" s="61">
        <f ca="1">SUM(FN!H169)</f>
        <v>50</v>
      </c>
      <c r="N169" s="61">
        <f ca="1">SUM('AC-SVC'!H169)</f>
        <v>0</v>
      </c>
      <c r="O169" s="61">
        <f ca="1">SUM(FS!C169)</f>
        <v>0</v>
      </c>
      <c r="P169" s="61">
        <f ca="1">SUM('AC-SVC'!C169)</f>
        <v>0</v>
      </c>
      <c r="Q169" s="61">
        <f ca="1">SUM(HR!C169)</f>
        <v>0</v>
      </c>
      <c r="R169" s="61">
        <f ca="1">SUM(IT!C169)</f>
        <v>0</v>
      </c>
      <c r="S169" s="39"/>
      <c r="T169" s="67">
        <f t="shared" si="30"/>
        <v>900</v>
      </c>
    </row>
    <row r="170" spans="1:20">
      <c r="A170" s="10" t="s">
        <v>161</v>
      </c>
      <c r="B170" s="10" t="s">
        <v>162</v>
      </c>
      <c r="C170" s="40"/>
      <c r="D170" s="40">
        <f ca="1">SUM(DID!C170)</f>
        <v>0</v>
      </c>
      <c r="E170" s="40">
        <f ca="1">SUM(DID!D170)</f>
        <v>0</v>
      </c>
      <c r="F170" s="40">
        <f ca="1">SUM(DID!E170)</f>
        <v>0</v>
      </c>
      <c r="G170" s="40">
        <f ca="1">SUM(FC!C170)</f>
        <v>0</v>
      </c>
      <c r="H170" s="40">
        <f ca="1">SUM(FN!C170)</f>
        <v>0</v>
      </c>
      <c r="I170" s="40">
        <f ca="1">SUM(FN!D170)</f>
        <v>0</v>
      </c>
      <c r="J170" s="40">
        <f ca="1">SUM(FN!E170)</f>
        <v>0</v>
      </c>
      <c r="K170" s="40">
        <f ca="1">SUM(FN!F170)</f>
        <v>0</v>
      </c>
      <c r="L170" s="40">
        <f ca="1">SUM(FN!G170)</f>
        <v>0</v>
      </c>
      <c r="M170" s="40">
        <f ca="1">SUM(FN!H170)</f>
        <v>0</v>
      </c>
      <c r="N170" s="40">
        <f ca="1">SUM('AC-SVC'!H170)</f>
        <v>0</v>
      </c>
      <c r="O170" s="40">
        <f ca="1">SUM(FS!C170)</f>
        <v>0</v>
      </c>
      <c r="P170" s="40">
        <f ca="1">SUM('AC-SVC'!C170)</f>
        <v>0</v>
      </c>
      <c r="Q170" s="40">
        <f ca="1">SUM(HR!C170)</f>
        <v>0</v>
      </c>
      <c r="R170" s="40">
        <f ca="1">SUM(IT!C170)</f>
        <v>0</v>
      </c>
      <c r="S170" s="39"/>
      <c r="T170" s="66">
        <f t="shared" si="30"/>
        <v>0</v>
      </c>
    </row>
    <row r="171" spans="1:20">
      <c r="B171" s="10" t="s">
        <v>163</v>
      </c>
      <c r="C171" s="39">
        <f>SUM(C158:C170)</f>
        <v>24400</v>
      </c>
      <c r="D171" s="39">
        <f t="shared" ref="D171:R171" si="31">SUM(D158:D170)</f>
        <v>1500</v>
      </c>
      <c r="E171" s="39">
        <f t="shared" si="31"/>
        <v>4400</v>
      </c>
      <c r="F171" s="39">
        <f t="shared" si="31"/>
        <v>4500</v>
      </c>
      <c r="G171" s="39">
        <f t="shared" si="31"/>
        <v>3700</v>
      </c>
      <c r="H171" s="39">
        <f t="shared" si="31"/>
        <v>20790</v>
      </c>
      <c r="I171" s="39">
        <f t="shared" si="31"/>
        <v>2850</v>
      </c>
      <c r="J171" s="39">
        <f t="shared" si="31"/>
        <v>6200</v>
      </c>
      <c r="K171" s="39">
        <f>SUM(K158:K170)</f>
        <v>1800</v>
      </c>
      <c r="L171" s="39">
        <f>SUM(L158:L170)</f>
        <v>1450</v>
      </c>
      <c r="M171" s="39">
        <f>SUM(M158:M170)</f>
        <v>1450</v>
      </c>
      <c r="N171" s="39">
        <f t="shared" si="31"/>
        <v>1000</v>
      </c>
      <c r="O171" s="39">
        <f t="shared" si="31"/>
        <v>5500</v>
      </c>
      <c r="P171" s="39">
        <f>SUM(P158:P170)</f>
        <v>1565</v>
      </c>
      <c r="Q171" s="39">
        <f t="shared" si="31"/>
        <v>2750</v>
      </c>
      <c r="R171" s="39">
        <f t="shared" si="31"/>
        <v>37503</v>
      </c>
      <c r="S171" s="39"/>
      <c r="T171" s="57">
        <f>SUM(T158:T170)</f>
        <v>121358</v>
      </c>
    </row>
    <row r="172" spans="1:20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57"/>
    </row>
    <row r="173" spans="1:20">
      <c r="A173" s="10" t="s">
        <v>164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57"/>
    </row>
    <row r="174" spans="1:20">
      <c r="A174" s="10" t="s">
        <v>165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57"/>
    </row>
    <row r="175" spans="1:20">
      <c r="A175" s="10" t="s">
        <v>86</v>
      </c>
      <c r="B175" s="10" t="s">
        <v>85</v>
      </c>
      <c r="C175" s="39">
        <f>35000+5000+1000</f>
        <v>41000</v>
      </c>
      <c r="D175" s="61">
        <f ca="1">SUM(DID!C175)</f>
        <v>750</v>
      </c>
      <c r="E175" s="61">
        <f ca="1">SUM(DID!D175)</f>
        <v>500</v>
      </c>
      <c r="F175" s="61">
        <f ca="1">SUM(DID!E175)</f>
        <v>500</v>
      </c>
      <c r="G175" s="61">
        <f ca="1">SUM(FC!C175)</f>
        <v>0</v>
      </c>
      <c r="H175" s="61">
        <f ca="1">SUM(FN!C175)</f>
        <v>0</v>
      </c>
      <c r="I175" s="61">
        <f ca="1">SUM(FN!D175)</f>
        <v>0</v>
      </c>
      <c r="J175" s="61">
        <f ca="1">SUM(FN!E175)</f>
        <v>12300</v>
      </c>
      <c r="K175" s="61">
        <f ca="1">SUM(FN!F175)</f>
        <v>0</v>
      </c>
      <c r="L175" s="61">
        <f ca="1">SUM(FN!G175)</f>
        <v>0</v>
      </c>
      <c r="M175" s="61">
        <f ca="1">SUM(FN!H175)</f>
        <v>0</v>
      </c>
      <c r="N175" s="61">
        <f ca="1">SUM(FN!G175)</f>
        <v>0</v>
      </c>
      <c r="O175" s="61">
        <f ca="1">SUM(FS!C175)</f>
        <v>113</v>
      </c>
      <c r="P175" s="61">
        <f ca="1">SUM('AC-SVC'!C175)</f>
        <v>0</v>
      </c>
      <c r="Q175" s="61">
        <f ca="1">SUM(HR!C175)</f>
        <v>500</v>
      </c>
      <c r="R175" s="61">
        <f ca="1">SUM(IT!C175)</f>
        <v>0</v>
      </c>
      <c r="S175" s="39"/>
      <c r="T175" s="67">
        <f t="shared" ref="T175:T185" si="32">SUM(C175:R175)</f>
        <v>55663</v>
      </c>
    </row>
    <row r="176" spans="1:20">
      <c r="A176" s="10" t="s">
        <v>91</v>
      </c>
      <c r="B176" s="10" t="s">
        <v>92</v>
      </c>
      <c r="C176" s="39"/>
      <c r="D176" s="61">
        <f ca="1">SUM(DID!C176)</f>
        <v>0</v>
      </c>
      <c r="E176" s="61">
        <f ca="1">SUM(DID!D176)</f>
        <v>0</v>
      </c>
      <c r="F176" s="61">
        <f ca="1">SUM(DID!E176)</f>
        <v>0</v>
      </c>
      <c r="G176" s="61">
        <f ca="1">SUM(FC!C176)</f>
        <v>0</v>
      </c>
      <c r="H176" s="61">
        <f ca="1">SUM(FN!C176)</f>
        <v>0</v>
      </c>
      <c r="I176" s="61">
        <f ca="1">SUM(FN!D176)</f>
        <v>0</v>
      </c>
      <c r="J176" s="61">
        <f ca="1">SUM(FN!E176)</f>
        <v>0</v>
      </c>
      <c r="K176" s="61">
        <f ca="1">SUM(FN!F176)</f>
        <v>0</v>
      </c>
      <c r="L176" s="61">
        <f ca="1">SUM(FN!G176)</f>
        <v>0</v>
      </c>
      <c r="M176" s="61">
        <f ca="1">SUM(FN!H176)</f>
        <v>0</v>
      </c>
      <c r="N176" s="61">
        <f ca="1">SUM('AC-SVC'!H176)</f>
        <v>0</v>
      </c>
      <c r="O176" s="61">
        <f ca="1">SUM(FS!C176)</f>
        <v>0</v>
      </c>
      <c r="P176" s="61">
        <f ca="1">SUM('AC-SVC'!C176)</f>
        <v>0</v>
      </c>
      <c r="Q176" s="61">
        <f ca="1">SUM(HR!C176)</f>
        <v>0</v>
      </c>
      <c r="R176" s="61">
        <f ca="1">SUM(IT!C176)</f>
        <v>0</v>
      </c>
      <c r="S176" s="39"/>
      <c r="T176" s="67">
        <f t="shared" si="32"/>
        <v>0</v>
      </c>
    </row>
    <row r="177" spans="1:20">
      <c r="A177" s="10" t="s">
        <v>93</v>
      </c>
      <c r="B177" s="10" t="s">
        <v>94</v>
      </c>
      <c r="C177" s="39"/>
      <c r="D177" s="61">
        <f ca="1">SUM(DID!C177)</f>
        <v>0</v>
      </c>
      <c r="E177" s="61">
        <f ca="1">SUM(DID!D177)</f>
        <v>0</v>
      </c>
      <c r="F177" s="61">
        <f ca="1">SUM(DID!E177)</f>
        <v>0</v>
      </c>
      <c r="G177" s="61">
        <f ca="1">SUM(FC!C177)</f>
        <v>0</v>
      </c>
      <c r="H177" s="61">
        <f ca="1">SUM(FN!C177)</f>
        <v>0</v>
      </c>
      <c r="I177" s="61">
        <f ca="1">SUM(FN!D177)</f>
        <v>0</v>
      </c>
      <c r="J177" s="61">
        <f ca="1">SUM(FN!E177)</f>
        <v>0</v>
      </c>
      <c r="K177" s="61">
        <f ca="1">SUM(FN!F177)</f>
        <v>0</v>
      </c>
      <c r="L177" s="61">
        <f ca="1">SUM(FN!G177)</f>
        <v>0</v>
      </c>
      <c r="M177" s="61">
        <f ca="1">SUM(FN!H177)</f>
        <v>0</v>
      </c>
      <c r="N177" s="61">
        <f ca="1">SUM('AC-SVC'!H177)</f>
        <v>0</v>
      </c>
      <c r="O177" s="61">
        <f ca="1">SUM(FS!C177)</f>
        <v>22000</v>
      </c>
      <c r="P177" s="61">
        <f ca="1">SUM('AC-SVC'!C177)</f>
        <v>0</v>
      </c>
      <c r="Q177" s="61">
        <f ca="1">SUM(HR!C177)</f>
        <v>0</v>
      </c>
      <c r="R177" s="61">
        <f ca="1">SUM(IT!C177)</f>
        <v>0</v>
      </c>
      <c r="S177" s="39"/>
      <c r="T177" s="67">
        <f t="shared" si="32"/>
        <v>22000</v>
      </c>
    </row>
    <row r="178" spans="1:20">
      <c r="A178" s="10" t="s">
        <v>95</v>
      </c>
      <c r="B178" s="10" t="s">
        <v>432</v>
      </c>
      <c r="C178" s="39"/>
      <c r="D178" s="61">
        <f ca="1">SUM(DID!C178)</f>
        <v>0</v>
      </c>
      <c r="E178" s="61">
        <f ca="1">SUM(DID!D178)</f>
        <v>0</v>
      </c>
      <c r="F178" s="61">
        <f ca="1">SUM(DID!E178)</f>
        <v>0</v>
      </c>
      <c r="G178" s="61">
        <f ca="1">SUM(FC!C178)</f>
        <v>0</v>
      </c>
      <c r="H178" s="61">
        <f ca="1">SUM(FN!C178)</f>
        <v>0</v>
      </c>
      <c r="I178" s="61">
        <f ca="1">SUM(FN!D178)</f>
        <v>0</v>
      </c>
      <c r="J178" s="61">
        <f ca="1">SUM(FN!E178)</f>
        <v>0</v>
      </c>
      <c r="K178" s="61">
        <f ca="1">SUM(FN!F178)</f>
        <v>0</v>
      </c>
      <c r="L178" s="61">
        <f ca="1">SUM(FN!G178)</f>
        <v>0</v>
      </c>
      <c r="M178" s="61">
        <f ca="1">SUM(FN!H178)</f>
        <v>0</v>
      </c>
      <c r="N178" s="61">
        <f ca="1">SUM('AC-SVC'!H178)</f>
        <v>0</v>
      </c>
      <c r="O178" s="61">
        <f ca="1">SUM(FS!C178)</f>
        <v>0</v>
      </c>
      <c r="P178" s="61">
        <f ca="1">SUM('AC-SVC'!C178)</f>
        <v>0</v>
      </c>
      <c r="Q178" s="61">
        <f ca="1">SUM(HR!C178)</f>
        <v>0</v>
      </c>
      <c r="R178" s="61">
        <f ca="1">SUM(IT!C178)</f>
        <v>0</v>
      </c>
      <c r="S178" s="39"/>
      <c r="T178" s="67">
        <f t="shared" si="32"/>
        <v>0</v>
      </c>
    </row>
    <row r="179" spans="1:20">
      <c r="A179" s="10" t="s">
        <v>96</v>
      </c>
      <c r="B179" s="10" t="s">
        <v>431</v>
      </c>
      <c r="C179" s="39"/>
      <c r="D179" s="61">
        <f ca="1">SUM(DID!C179)</f>
        <v>0</v>
      </c>
      <c r="E179" s="61">
        <f ca="1">SUM(DID!D179)</f>
        <v>0</v>
      </c>
      <c r="F179" s="61">
        <f ca="1">SUM(DID!E179)</f>
        <v>0</v>
      </c>
      <c r="G179" s="61">
        <f ca="1">SUM(FC!C179)</f>
        <v>0</v>
      </c>
      <c r="H179" s="61">
        <f ca="1">SUM(FN!C179)</f>
        <v>0</v>
      </c>
      <c r="I179" s="61">
        <f ca="1">SUM(FN!D179)</f>
        <v>0</v>
      </c>
      <c r="J179" s="61">
        <f ca="1">SUM(FN!E179)</f>
        <v>0</v>
      </c>
      <c r="K179" s="61">
        <f ca="1">SUM(FN!F179)</f>
        <v>0</v>
      </c>
      <c r="L179" s="61">
        <f ca="1">SUM(FN!G179)</f>
        <v>0</v>
      </c>
      <c r="M179" s="61">
        <f ca="1">SUM(FN!H179)</f>
        <v>0</v>
      </c>
      <c r="N179" s="61">
        <f ca="1">SUM('AC-SVC'!H179)</f>
        <v>0</v>
      </c>
      <c r="O179" s="61">
        <f ca="1">SUM(FS!C179)</f>
        <v>0</v>
      </c>
      <c r="P179" s="61">
        <f ca="1">SUM('AC-SVC'!C179)</f>
        <v>0</v>
      </c>
      <c r="Q179" s="61">
        <f ca="1">SUM(HR!C179)</f>
        <v>0</v>
      </c>
      <c r="R179" s="61">
        <f ca="1">SUM(IT!C179)</f>
        <v>10000</v>
      </c>
      <c r="S179" s="39"/>
      <c r="T179" s="67">
        <f t="shared" si="32"/>
        <v>10000</v>
      </c>
    </row>
    <row r="180" spans="1:20">
      <c r="A180" s="10" t="s">
        <v>98</v>
      </c>
      <c r="B180" s="10" t="s">
        <v>99</v>
      </c>
      <c r="C180" s="39"/>
      <c r="D180" s="61">
        <f ca="1">SUM(DID!C180)</f>
        <v>0</v>
      </c>
      <c r="E180" s="61">
        <f ca="1">SUM(DID!D180)</f>
        <v>0</v>
      </c>
      <c r="F180" s="61">
        <f ca="1">SUM(DID!E180)</f>
        <v>0</v>
      </c>
      <c r="G180" s="61">
        <f ca="1">SUM(FC!C180)</f>
        <v>0</v>
      </c>
      <c r="H180" s="61">
        <f ca="1">SUM(FN!C180)</f>
        <v>0</v>
      </c>
      <c r="I180" s="61">
        <f ca="1">SUM(FN!D180)</f>
        <v>0</v>
      </c>
      <c r="J180" s="61">
        <f ca="1">SUM(FN!E180)</f>
        <v>0</v>
      </c>
      <c r="K180" s="61">
        <f ca="1">SUM(FN!F180)</f>
        <v>0</v>
      </c>
      <c r="L180" s="61">
        <f ca="1">SUM(FN!G180)</f>
        <v>0</v>
      </c>
      <c r="M180" s="61">
        <f ca="1">SUM(FN!H180)</f>
        <v>0</v>
      </c>
      <c r="N180" s="61">
        <f ca="1">SUM('AC-SVC'!H180)</f>
        <v>0</v>
      </c>
      <c r="O180" s="61">
        <f ca="1">SUM(FS!C180)</f>
        <v>0</v>
      </c>
      <c r="P180" s="61">
        <f ca="1">SUM('AC-SVC'!C180)</f>
        <v>0</v>
      </c>
      <c r="Q180" s="61">
        <f ca="1">SUM(HR!C180)</f>
        <v>0</v>
      </c>
      <c r="R180" s="61">
        <f ca="1">SUM(IT!C180)</f>
        <v>0</v>
      </c>
      <c r="S180" s="39"/>
      <c r="T180" s="67">
        <f t="shared" si="32"/>
        <v>0</v>
      </c>
    </row>
    <row r="181" spans="1:20">
      <c r="A181" s="10" t="s">
        <v>100</v>
      </c>
      <c r="B181" s="10" t="s">
        <v>287</v>
      </c>
      <c r="C181" s="39"/>
      <c r="D181" s="61">
        <f ca="1">SUM(DID!C181)</f>
        <v>0</v>
      </c>
      <c r="E181" s="61">
        <f ca="1">SUM(DID!D181)</f>
        <v>0</v>
      </c>
      <c r="F181" s="61">
        <f ca="1">SUM(DID!E181)</f>
        <v>0</v>
      </c>
      <c r="G181" s="61">
        <f ca="1">SUM(FC!C181)</f>
        <v>0</v>
      </c>
      <c r="H181" s="61">
        <f ca="1">SUM(FN!C181)</f>
        <v>0</v>
      </c>
      <c r="I181" s="61">
        <f ca="1">SUM(FN!D181)</f>
        <v>0</v>
      </c>
      <c r="J181" s="61">
        <f ca="1">SUM(FN!E181)</f>
        <v>0</v>
      </c>
      <c r="K181" s="61">
        <f ca="1">SUM(FN!F181)</f>
        <v>0</v>
      </c>
      <c r="L181" s="61">
        <f ca="1">SUM(FN!G181)</f>
        <v>0</v>
      </c>
      <c r="M181" s="61">
        <f ca="1">SUM(FN!H181)</f>
        <v>0</v>
      </c>
      <c r="N181" s="61">
        <f ca="1">SUM('AC-SVC'!H181)</f>
        <v>0</v>
      </c>
      <c r="O181" s="61">
        <f ca="1">SUM(FS!C181)</f>
        <v>0</v>
      </c>
      <c r="P181" s="61">
        <f ca="1">SUM('AC-SVC'!C181)</f>
        <v>0</v>
      </c>
      <c r="Q181" s="61">
        <f ca="1">SUM(HR!C181)</f>
        <v>0</v>
      </c>
      <c r="R181" s="61">
        <f ca="1">SUM(IT!C181)</f>
        <v>0</v>
      </c>
      <c r="S181" s="39"/>
      <c r="T181" s="67">
        <f t="shared" si="32"/>
        <v>0</v>
      </c>
    </row>
    <row r="182" spans="1:20">
      <c r="A182" s="10" t="s">
        <v>101</v>
      </c>
      <c r="B182" s="10" t="s">
        <v>102</v>
      </c>
      <c r="C182" s="39"/>
      <c r="D182" s="61">
        <f ca="1">SUM(DID!C182)</f>
        <v>0</v>
      </c>
      <c r="E182" s="61">
        <f ca="1">SUM(DID!D182)</f>
        <v>0</v>
      </c>
      <c r="F182" s="61">
        <f ca="1">SUM(DID!E182)</f>
        <v>0</v>
      </c>
      <c r="G182" s="61">
        <f ca="1">SUM(FC!C182)</f>
        <v>0</v>
      </c>
      <c r="H182" s="61">
        <f ca="1">SUM(FN!C182)</f>
        <v>1000</v>
      </c>
      <c r="I182" s="61">
        <f ca="1">SUM(FN!D182)</f>
        <v>0</v>
      </c>
      <c r="J182" s="61">
        <f ca="1">SUM(FN!E182)</f>
        <v>0</v>
      </c>
      <c r="K182" s="61">
        <f ca="1">SUM(FN!F182)</f>
        <v>0</v>
      </c>
      <c r="L182" s="61">
        <f ca="1">SUM(FN!G182)</f>
        <v>0</v>
      </c>
      <c r="M182" s="61">
        <f ca="1">SUM(FN!H182)</f>
        <v>0</v>
      </c>
      <c r="N182" s="61">
        <f ca="1">SUM('AC-SVC'!H182)</f>
        <v>0</v>
      </c>
      <c r="O182" s="61">
        <f ca="1">SUM(FS!C182)</f>
        <v>0</v>
      </c>
      <c r="P182" s="61">
        <f ca="1">SUM('AC-SVC'!C182)</f>
        <v>0</v>
      </c>
      <c r="Q182" s="61">
        <f ca="1">SUM(HR!C182)</f>
        <v>1000</v>
      </c>
      <c r="R182" s="61">
        <f ca="1">SUM(IT!C182)</f>
        <v>0</v>
      </c>
      <c r="S182" s="39"/>
      <c r="T182" s="67">
        <f t="shared" si="32"/>
        <v>2000</v>
      </c>
    </row>
    <row r="183" spans="1:20">
      <c r="A183" s="10" t="s">
        <v>105</v>
      </c>
      <c r="B183" s="10" t="s">
        <v>167</v>
      </c>
      <c r="C183" s="39"/>
      <c r="D183" s="61">
        <f ca="1">SUM(DID!C183)</f>
        <v>0</v>
      </c>
      <c r="E183" s="61">
        <f ca="1">SUM(DID!D183)</f>
        <v>0</v>
      </c>
      <c r="F183" s="61">
        <f ca="1">SUM(DID!E183)</f>
        <v>0</v>
      </c>
      <c r="G183" s="61">
        <f ca="1">SUM(FC!C183)</f>
        <v>0</v>
      </c>
      <c r="H183" s="61">
        <f ca="1">SUM(FN!C183)</f>
        <v>0</v>
      </c>
      <c r="I183" s="61">
        <f ca="1">SUM(FN!D183)</f>
        <v>0</v>
      </c>
      <c r="J183" s="61">
        <f ca="1">SUM(FN!E183)</f>
        <v>0</v>
      </c>
      <c r="K183" s="61">
        <f ca="1">SUM(FN!F183)</f>
        <v>0</v>
      </c>
      <c r="L183" s="61">
        <f ca="1">SUM(FN!G183)</f>
        <v>0</v>
      </c>
      <c r="M183" s="61">
        <f ca="1">SUM(FN!H183)</f>
        <v>0</v>
      </c>
      <c r="N183" s="61">
        <f ca="1">SUM('AC-SVC'!H183)</f>
        <v>0</v>
      </c>
      <c r="O183" s="61">
        <f ca="1">SUM(FS!C183)</f>
        <v>0</v>
      </c>
      <c r="P183" s="61">
        <f ca="1">SUM('AC-SVC'!C183)</f>
        <v>0</v>
      </c>
      <c r="Q183" s="61">
        <f ca="1">SUM(HR!C183)</f>
        <v>0</v>
      </c>
      <c r="R183" s="61">
        <f ca="1">SUM(IT!C183)</f>
        <v>0</v>
      </c>
      <c r="S183" s="39"/>
      <c r="T183" s="67">
        <f t="shared" si="32"/>
        <v>0</v>
      </c>
    </row>
    <row r="184" spans="1:20">
      <c r="A184" s="10" t="s">
        <v>106</v>
      </c>
      <c r="B184" s="10" t="s">
        <v>107</v>
      </c>
      <c r="C184" s="54">
        <f>(C68*0.15)</f>
        <v>251179.18840909092</v>
      </c>
      <c r="D184" s="61">
        <f ca="1">SUM(DID!C184)</f>
        <v>0</v>
      </c>
      <c r="E184" s="61">
        <f ca="1">SUM(DID!D184)</f>
        <v>10000</v>
      </c>
      <c r="F184" s="61">
        <f ca="1">SUM(DID!E184)</f>
        <v>0</v>
      </c>
      <c r="G184" s="61">
        <f ca="1">SUM(FC!C184)</f>
        <v>0</v>
      </c>
      <c r="H184" s="61">
        <f ca="1">SUM(FN!C184)</f>
        <v>0</v>
      </c>
      <c r="I184" s="61">
        <f ca="1">SUM(FN!D184)</f>
        <v>0</v>
      </c>
      <c r="J184" s="61">
        <f ca="1">SUM(FN!E184)</f>
        <v>0</v>
      </c>
      <c r="K184" s="61">
        <f ca="1">SUM(FN!F184)</f>
        <v>0</v>
      </c>
      <c r="L184" s="61">
        <f ca="1">SUM(FN!G184)</f>
        <v>0</v>
      </c>
      <c r="M184" s="61">
        <f ca="1">SUM(FN!H184)</f>
        <v>0</v>
      </c>
      <c r="N184" s="61">
        <f ca="1">SUM('AC-SVC'!H184)</f>
        <v>0</v>
      </c>
      <c r="O184" s="61">
        <f ca="1">SUM(FS!C184)</f>
        <v>0</v>
      </c>
      <c r="P184" s="61">
        <f ca="1">SUM('AC-SVC'!C184)</f>
        <v>0</v>
      </c>
      <c r="Q184" s="61">
        <f ca="1">SUM(HR!C184)</f>
        <v>0</v>
      </c>
      <c r="R184" s="61">
        <f ca="1">SUM(IT!C184)</f>
        <v>0</v>
      </c>
      <c r="S184" s="39"/>
      <c r="T184" s="67">
        <f t="shared" si="32"/>
        <v>261179.18840909092</v>
      </c>
    </row>
    <row r="185" spans="1:20">
      <c r="A185" s="10" t="s">
        <v>465</v>
      </c>
      <c r="B185" s="10" t="s">
        <v>466</v>
      </c>
      <c r="C185" s="55">
        <f>200*12</f>
        <v>2400</v>
      </c>
      <c r="D185" s="40">
        <f ca="1">SUM(DID!C185)</f>
        <v>0</v>
      </c>
      <c r="E185" s="40">
        <f ca="1">SUM(DID!D185)</f>
        <v>0</v>
      </c>
      <c r="F185" s="40">
        <f ca="1">SUM(DID!E185)</f>
        <v>0</v>
      </c>
      <c r="G185" s="40">
        <f ca="1">SUM(FC!C185)</f>
        <v>500</v>
      </c>
      <c r="H185" s="40">
        <f ca="1">SUM(FN!C185)</f>
        <v>0</v>
      </c>
      <c r="I185" s="40">
        <f ca="1">SUM(FN!D185)</f>
        <v>0</v>
      </c>
      <c r="J185" s="40">
        <f ca="1">SUM(FN!E185)</f>
        <v>0</v>
      </c>
      <c r="K185" s="40">
        <f ca="1">SUM(FN!F185)</f>
        <v>0</v>
      </c>
      <c r="L185" s="40">
        <f ca="1">SUM(FN!G185)</f>
        <v>0</v>
      </c>
      <c r="M185" s="40">
        <f ca="1">SUM(FN!H185)</f>
        <v>0</v>
      </c>
      <c r="N185" s="40">
        <f ca="1">SUM('AC-SVC'!H185)</f>
        <v>0</v>
      </c>
      <c r="O185" s="40">
        <f ca="1">SUM(FS!C185)</f>
        <v>0</v>
      </c>
      <c r="P185" s="40">
        <f ca="1">SUM('AC-SVC'!C185)</f>
        <v>0</v>
      </c>
      <c r="Q185" s="40">
        <f ca="1">SUM(HR!C185)</f>
        <v>0</v>
      </c>
      <c r="R185" s="40">
        <f ca="1">SUM(IT!C185)</f>
        <v>0</v>
      </c>
      <c r="S185" s="39"/>
      <c r="T185" s="66">
        <f t="shared" si="32"/>
        <v>2900</v>
      </c>
    </row>
    <row r="186" spans="1:20">
      <c r="B186" s="10" t="s">
        <v>168</v>
      </c>
      <c r="C186" s="39">
        <f>SUM(C175:C185)</f>
        <v>294579.18840909092</v>
      </c>
      <c r="D186" s="39">
        <f t="shared" ref="D186:R186" si="33">SUM(D175:D185)</f>
        <v>750</v>
      </c>
      <c r="E186" s="39">
        <f t="shared" si="33"/>
        <v>10500</v>
      </c>
      <c r="F186" s="39">
        <f t="shared" si="33"/>
        <v>500</v>
      </c>
      <c r="G186" s="39">
        <f t="shared" si="33"/>
        <v>500</v>
      </c>
      <c r="H186" s="39">
        <f t="shared" si="33"/>
        <v>1000</v>
      </c>
      <c r="I186" s="39">
        <f t="shared" si="33"/>
        <v>0</v>
      </c>
      <c r="J186" s="39">
        <f t="shared" si="33"/>
        <v>12300</v>
      </c>
      <c r="K186" s="39">
        <f>SUM(K175:K185)</f>
        <v>0</v>
      </c>
      <c r="L186" s="39">
        <f>SUM(L175:L185)</f>
        <v>0</v>
      </c>
      <c r="M186" s="39">
        <f>SUM(M175:M185)</f>
        <v>0</v>
      </c>
      <c r="N186" s="39">
        <f t="shared" si="33"/>
        <v>0</v>
      </c>
      <c r="O186" s="39">
        <f t="shared" si="33"/>
        <v>22113</v>
      </c>
      <c r="P186" s="39">
        <f>SUM(P175:P185)</f>
        <v>0</v>
      </c>
      <c r="Q186" s="39">
        <f t="shared" si="33"/>
        <v>1500</v>
      </c>
      <c r="R186" s="39">
        <f t="shared" si="33"/>
        <v>10000</v>
      </c>
      <c r="S186" s="39"/>
      <c r="T186" s="57">
        <f>SUM(T175:T185)</f>
        <v>353742.18840909092</v>
      </c>
    </row>
    <row r="187" spans="1:20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57"/>
    </row>
    <row r="188" spans="1:20" s="4" customFormat="1" ht="10.5">
      <c r="A188" s="14"/>
      <c r="B188" s="14" t="s">
        <v>169</v>
      </c>
      <c r="C188" s="41">
        <f>SUM(C122+C133+C141+C150+C155+C171+C186)</f>
        <v>469990.43840909092</v>
      </c>
      <c r="D188" s="41">
        <f t="shared" ref="D188:R188" si="34">SUM(D122+D133+D141+D150+D155+D171+D186)</f>
        <v>4970</v>
      </c>
      <c r="E188" s="41">
        <f t="shared" si="34"/>
        <v>32370</v>
      </c>
      <c r="F188" s="41">
        <f t="shared" si="34"/>
        <v>37470</v>
      </c>
      <c r="G188" s="41">
        <f t="shared" si="34"/>
        <v>10576.25</v>
      </c>
      <c r="H188" s="41">
        <f t="shared" si="34"/>
        <v>28536</v>
      </c>
      <c r="I188" s="41">
        <f t="shared" si="34"/>
        <v>19110</v>
      </c>
      <c r="J188" s="41">
        <f t="shared" si="34"/>
        <v>53580</v>
      </c>
      <c r="K188" s="41">
        <f>SUM(K122+K133+K141+K150+K155+K171+K186)</f>
        <v>4080</v>
      </c>
      <c r="L188" s="41">
        <f>SUM(L122+L133+L141+L150+L155+L171+L186)</f>
        <v>2450</v>
      </c>
      <c r="M188" s="41">
        <f>SUM(M122+M133+M141+M150+M155+M171+M186)</f>
        <v>2450</v>
      </c>
      <c r="N188" s="41">
        <f>+N122+N133+N141+N150+N155+N171+N186</f>
        <v>3660</v>
      </c>
      <c r="O188" s="41">
        <f t="shared" si="34"/>
        <v>34126.6</v>
      </c>
      <c r="P188" s="41">
        <f>SUM(P122+P133+P141+P150+P155+P171+P186)</f>
        <v>2815</v>
      </c>
      <c r="Q188" s="41">
        <f t="shared" si="34"/>
        <v>26880</v>
      </c>
      <c r="R188" s="41">
        <f t="shared" si="34"/>
        <v>71046.8</v>
      </c>
      <c r="S188" s="41"/>
      <c r="T188" s="41">
        <f>SUM(T122+T133+T141+T150+T155+T171+T186)</f>
        <v>804111.08840909088</v>
      </c>
    </row>
    <row r="189" spans="1:20">
      <c r="C189" s="39"/>
      <c r="D189" s="39"/>
      <c r="E189" s="39"/>
      <c r="F189" s="39"/>
      <c r="G189" s="39"/>
      <c r="H189" s="41"/>
      <c r="I189" s="41"/>
      <c r="J189" s="41"/>
      <c r="K189" s="41"/>
      <c r="L189" s="41"/>
      <c r="M189" s="41"/>
      <c r="N189" s="39"/>
      <c r="O189" s="39"/>
      <c r="P189" s="39"/>
      <c r="Q189" s="39"/>
      <c r="R189" s="39"/>
      <c r="S189" s="39"/>
      <c r="T189" s="57"/>
    </row>
    <row r="190" spans="1:20">
      <c r="B190" s="14" t="s">
        <v>486</v>
      </c>
      <c r="C190" s="41">
        <f>SUM(C104+C188)</f>
        <v>693275.45828276407</v>
      </c>
      <c r="D190" s="41">
        <f t="shared" ref="D190:R190" si="35">SUM(D104+D188)</f>
        <v>79203.176731481828</v>
      </c>
      <c r="E190" s="41">
        <f t="shared" si="35"/>
        <v>96938.319740359133</v>
      </c>
      <c r="F190" s="41">
        <f t="shared" si="35"/>
        <v>89992.794366515329</v>
      </c>
      <c r="G190" s="41">
        <f t="shared" si="35"/>
        <v>83882.60823963095</v>
      </c>
      <c r="H190" s="41">
        <f t="shared" si="35"/>
        <v>117503.72242640001</v>
      </c>
      <c r="I190" s="41">
        <f t="shared" si="35"/>
        <v>104423.97257814843</v>
      </c>
      <c r="J190" s="41">
        <f t="shared" si="35"/>
        <v>133407.76409000001</v>
      </c>
      <c r="K190" s="41">
        <f>SUM(K104+K188)</f>
        <v>56635.135862170675</v>
      </c>
      <c r="L190" s="41">
        <f>SUM(L104+L188)</f>
        <v>37980.635200000004</v>
      </c>
      <c r="M190" s="41">
        <f>SUM(M104+M188)</f>
        <v>40602.933830000002</v>
      </c>
      <c r="N190" s="41">
        <f t="shared" si="35"/>
        <v>10247.904798399999</v>
      </c>
      <c r="O190" s="41">
        <f t="shared" si="35"/>
        <v>96534.540597333369</v>
      </c>
      <c r="P190" s="41">
        <f>SUM(P104+P188)</f>
        <v>10555.652841872055</v>
      </c>
      <c r="Q190" s="41">
        <f t="shared" si="35"/>
        <v>151543.11063076803</v>
      </c>
      <c r="R190" s="41">
        <f t="shared" si="35"/>
        <v>76448.316034203584</v>
      </c>
      <c r="S190" s="39"/>
      <c r="T190" s="41">
        <f>SUM(T104+T188)</f>
        <v>1879176.0462500476</v>
      </c>
    </row>
    <row r="191" spans="1:20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41"/>
    </row>
    <row r="192" spans="1:20" s="4" customFormat="1" ht="10.5">
      <c r="A192" s="50">
        <f>+SUM(C192:R192)</f>
        <v>274.93047722535266</v>
      </c>
      <c r="B192" s="14" t="s">
        <v>170</v>
      </c>
      <c r="C192" s="41">
        <f>+C68-C104-C188</f>
        <v>981252.46444450878</v>
      </c>
      <c r="D192" s="41">
        <f t="shared" ref="D192:R192" si="36">+D68-D104-D188</f>
        <v>-23203.176731481828</v>
      </c>
      <c r="E192" s="41">
        <f t="shared" si="36"/>
        <v>23061.680259640867</v>
      </c>
      <c r="F192" s="41">
        <f t="shared" si="36"/>
        <v>-89992.794366515329</v>
      </c>
      <c r="G192" s="41">
        <f t="shared" si="36"/>
        <v>-83882.60823963095</v>
      </c>
      <c r="H192" s="41">
        <f t="shared" si="36"/>
        <v>-117503.72242640001</v>
      </c>
      <c r="I192" s="41">
        <f t="shared" si="36"/>
        <v>-104423.97257814843</v>
      </c>
      <c r="J192" s="41">
        <f t="shared" si="36"/>
        <v>-128007.76409000001</v>
      </c>
      <c r="K192" s="41">
        <f>+K68-K104-K188</f>
        <v>-56635.135862170675</v>
      </c>
      <c r="L192" s="41">
        <f>+L68-L104-L188</f>
        <v>-37980.635200000004</v>
      </c>
      <c r="M192" s="41">
        <f>+M68-M104-M188</f>
        <v>-40602.933830000002</v>
      </c>
      <c r="N192" s="41">
        <f>SUM(N68-N104-N188)</f>
        <v>-10247.904798399999</v>
      </c>
      <c r="O192" s="41">
        <f t="shared" si="36"/>
        <v>-96534.540597333369</v>
      </c>
      <c r="P192" s="41">
        <f>+P68-P104-P188</f>
        <v>-10555.652841872055</v>
      </c>
      <c r="Q192" s="41">
        <f t="shared" si="36"/>
        <v>-151543.11063076803</v>
      </c>
      <c r="R192" s="41">
        <f t="shared" si="36"/>
        <v>-52925.262034203581</v>
      </c>
      <c r="S192" s="41"/>
      <c r="T192" s="41">
        <f>+T68-T104-T188</f>
        <v>274.93047722522169</v>
      </c>
    </row>
    <row r="193" spans="8:20">
      <c r="H193" s="39"/>
      <c r="I193" s="39"/>
      <c r="J193" s="39"/>
      <c r="K193" s="39"/>
      <c r="L193" s="39"/>
      <c r="M193" s="39"/>
      <c r="T193" s="57"/>
    </row>
    <row r="194" spans="8:20">
      <c r="H194" s="41"/>
      <c r="I194" s="41"/>
      <c r="J194" s="41"/>
      <c r="K194" s="41"/>
      <c r="L194" s="41"/>
      <c r="M194" s="41"/>
      <c r="T194" s="57"/>
    </row>
  </sheetData>
  <phoneticPr fontId="0" type="noConversion"/>
  <pageMargins left="0.26" right="0.17" top="0.78" bottom="0.46" header="0.17" footer="0.17"/>
  <pageSetup scale="58" fitToHeight="0" orientation="landscape" r:id="rId1"/>
  <headerFooter alignWithMargins="0">
    <oddHeader>&amp;C&amp;"MS Sans Serif,Bold"&amp;18INTERNATIONAL SCHOOL of LOUISIANA
CMO BUDGET '12-2013
&amp;A</oddHeader>
    <oddFooter>&amp;L&amp;6&amp;Z&amp;F&amp;R&amp;P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1"/>
  <sheetViews>
    <sheetView zoomScaleNormal="100" workbookViewId="0">
      <pane xSplit="2" ySplit="10" topLeftCell="C11" activePane="bottomRight" state="frozen"/>
      <selection activeCell="A116" sqref="A116:IV116"/>
      <selection pane="topRight" activeCell="A116" sqref="A116:IV116"/>
      <selection pane="bottomLeft" activeCell="A116" sqref="A116:IV116"/>
      <selection pane="bottomRight" activeCell="G73" sqref="G73"/>
    </sheetView>
  </sheetViews>
  <sheetFormatPr defaultColWidth="11.42578125" defaultRowHeight="11.25"/>
  <cols>
    <col min="1" max="1" width="24.28515625" style="10" customWidth="1"/>
    <col min="2" max="2" width="26.85546875" style="10" customWidth="1"/>
    <col min="3" max="3" width="11.42578125" style="1"/>
    <col min="4" max="4" width="11.42578125" style="28"/>
    <col min="5" max="16384" width="11.42578125" style="1"/>
  </cols>
  <sheetData>
    <row r="2" spans="1:8">
      <c r="D2" s="28" t="s">
        <v>269</v>
      </c>
    </row>
    <row r="5" spans="1:8">
      <c r="B5" s="11"/>
    </row>
    <row r="7" spans="1:8" s="8" customFormat="1">
      <c r="A7" s="12"/>
      <c r="B7" s="12" t="s">
        <v>371</v>
      </c>
      <c r="C7" s="52">
        <v>1</v>
      </c>
      <c r="D7" s="51">
        <v>2</v>
      </c>
      <c r="E7" s="53">
        <v>2</v>
      </c>
      <c r="F7" s="53">
        <v>2</v>
      </c>
      <c r="G7" s="53">
        <v>2</v>
      </c>
      <c r="H7" s="53">
        <v>1</v>
      </c>
    </row>
    <row r="9" spans="1:8">
      <c r="C9" s="1" t="s">
        <v>180</v>
      </c>
      <c r="D9" s="28" t="s">
        <v>443</v>
      </c>
      <c r="E9" s="1" t="s">
        <v>181</v>
      </c>
      <c r="F9" s="1" t="s">
        <v>182</v>
      </c>
      <c r="G9" s="1" t="s">
        <v>183</v>
      </c>
      <c r="H9" s="1" t="s">
        <v>494</v>
      </c>
    </row>
    <row r="10" spans="1:8" s="7" customFormat="1">
      <c r="A10" s="13"/>
      <c r="B10" s="13" t="s">
        <v>174</v>
      </c>
      <c r="C10" s="7" t="s">
        <v>412</v>
      </c>
      <c r="D10" s="45" t="s">
        <v>444</v>
      </c>
      <c r="E10" s="7">
        <v>2122</v>
      </c>
      <c r="F10" s="7">
        <v>2134</v>
      </c>
      <c r="G10" s="7">
        <v>2252</v>
      </c>
    </row>
    <row r="11" spans="1:8">
      <c r="A11" s="10" t="s">
        <v>271</v>
      </c>
    </row>
    <row r="12" spans="1:8">
      <c r="A12" s="10" t="s">
        <v>272</v>
      </c>
    </row>
    <row r="13" spans="1:8">
      <c r="A13" s="10" t="s">
        <v>171</v>
      </c>
      <c r="B13" s="10" t="s">
        <v>273</v>
      </c>
      <c r="C13" s="39"/>
      <c r="D13" s="54"/>
      <c r="E13" s="39"/>
      <c r="F13" s="39"/>
      <c r="G13" s="39"/>
      <c r="H13" s="39"/>
    </row>
    <row r="14" spans="1:8">
      <c r="A14" s="10" t="s">
        <v>172</v>
      </c>
      <c r="B14" s="10" t="s">
        <v>274</v>
      </c>
      <c r="C14" s="39"/>
      <c r="D14" s="54"/>
      <c r="E14" s="39"/>
      <c r="F14" s="39"/>
      <c r="G14" s="39"/>
      <c r="H14" s="39"/>
    </row>
    <row r="15" spans="1:8">
      <c r="A15" s="10" t="s">
        <v>173</v>
      </c>
      <c r="B15" s="10" t="s">
        <v>275</v>
      </c>
      <c r="C15" s="39"/>
      <c r="D15" s="54"/>
      <c r="E15" s="39"/>
      <c r="F15" s="39"/>
      <c r="G15" s="39"/>
      <c r="H15" s="39"/>
    </row>
    <row r="16" spans="1:8">
      <c r="A16" s="10" t="s">
        <v>194</v>
      </c>
      <c r="B16" s="10" t="s">
        <v>276</v>
      </c>
      <c r="C16" s="39"/>
      <c r="D16" s="54"/>
      <c r="E16" s="39"/>
      <c r="F16" s="39"/>
      <c r="G16" s="39"/>
      <c r="H16" s="39"/>
    </row>
    <row r="17" spans="1:8">
      <c r="A17" s="10" t="s">
        <v>195</v>
      </c>
      <c r="B17" s="10" t="s">
        <v>277</v>
      </c>
      <c r="C17" s="39"/>
      <c r="D17" s="54"/>
      <c r="E17" s="39"/>
      <c r="F17" s="39"/>
      <c r="G17" s="39"/>
      <c r="H17" s="39"/>
    </row>
    <row r="18" spans="1:8">
      <c r="A18" s="10" t="s">
        <v>196</v>
      </c>
      <c r="B18" s="10" t="s">
        <v>278</v>
      </c>
      <c r="C18" s="39"/>
      <c r="D18" s="54"/>
      <c r="E18" s="39"/>
      <c r="F18" s="39"/>
      <c r="G18" s="39"/>
      <c r="H18" s="39"/>
    </row>
    <row r="19" spans="1:8">
      <c r="A19" s="10" t="s">
        <v>197</v>
      </c>
      <c r="B19" s="10" t="s">
        <v>279</v>
      </c>
      <c r="C19" s="39"/>
      <c r="D19" s="54"/>
      <c r="E19" s="39"/>
      <c r="F19" s="39"/>
      <c r="G19" s="39"/>
      <c r="H19" s="39"/>
    </row>
    <row r="20" spans="1:8">
      <c r="A20" s="10" t="s">
        <v>198</v>
      </c>
      <c r="B20" s="10" t="s">
        <v>280</v>
      </c>
      <c r="C20" s="39"/>
      <c r="D20" s="54"/>
      <c r="E20" s="39"/>
      <c r="F20" s="39"/>
      <c r="G20" s="39"/>
      <c r="H20" s="39"/>
    </row>
    <row r="21" spans="1:8">
      <c r="A21" s="10" t="s">
        <v>199</v>
      </c>
      <c r="B21" s="10" t="s">
        <v>281</v>
      </c>
      <c r="C21" s="39"/>
      <c r="D21" s="54"/>
      <c r="E21" s="39"/>
      <c r="F21" s="39"/>
      <c r="G21" s="39"/>
      <c r="H21" s="39"/>
    </row>
    <row r="22" spans="1:8">
      <c r="A22" s="10" t="s">
        <v>200</v>
      </c>
      <c r="B22" s="10" t="s">
        <v>282</v>
      </c>
      <c r="C22" s="39"/>
      <c r="D22" s="54"/>
      <c r="E22" s="39"/>
      <c r="F22" s="39"/>
      <c r="G22" s="39"/>
      <c r="H22" s="39"/>
    </row>
    <row r="23" spans="1:8">
      <c r="A23" s="10" t="s">
        <v>201</v>
      </c>
      <c r="B23" s="10" t="s">
        <v>283</v>
      </c>
      <c r="C23" s="39"/>
      <c r="D23" s="54"/>
      <c r="E23" s="39"/>
      <c r="F23" s="39"/>
      <c r="G23" s="39">
        <v>500</v>
      </c>
      <c r="H23" s="39"/>
    </row>
    <row r="24" spans="1:8">
      <c r="A24" s="10" t="s">
        <v>202</v>
      </c>
      <c r="B24" s="10" t="s">
        <v>284</v>
      </c>
      <c r="C24" s="39"/>
      <c r="D24" s="54"/>
      <c r="E24" s="39"/>
      <c r="F24" s="39"/>
      <c r="G24" s="39"/>
      <c r="H24" s="39"/>
    </row>
    <row r="25" spans="1:8">
      <c r="A25" s="10" t="s">
        <v>203</v>
      </c>
      <c r="B25" s="10" t="s">
        <v>285</v>
      </c>
      <c r="C25" s="39"/>
      <c r="D25" s="54"/>
      <c r="E25" s="39"/>
      <c r="F25" s="39"/>
      <c r="G25" s="39"/>
      <c r="H25" s="39"/>
    </row>
    <row r="26" spans="1:8">
      <c r="A26" s="10" t="s">
        <v>204</v>
      </c>
      <c r="B26" s="10" t="s">
        <v>286</v>
      </c>
      <c r="C26" s="39"/>
      <c r="D26" s="54"/>
      <c r="E26" s="39"/>
      <c r="F26" s="39"/>
      <c r="G26" s="39"/>
      <c r="H26" s="39"/>
    </row>
    <row r="27" spans="1:8">
      <c r="A27" s="10" t="s">
        <v>205</v>
      </c>
      <c r="B27" s="10" t="s">
        <v>287</v>
      </c>
      <c r="C27" s="39"/>
      <c r="D27" s="54"/>
      <c r="E27" s="39"/>
      <c r="F27" s="39"/>
      <c r="G27" s="39"/>
      <c r="H27" s="39"/>
    </row>
    <row r="28" spans="1:8">
      <c r="A28" s="10" t="s">
        <v>206</v>
      </c>
      <c r="B28" s="10" t="s">
        <v>288</v>
      </c>
      <c r="C28" s="39"/>
      <c r="D28" s="54"/>
      <c r="E28" s="39"/>
      <c r="F28" s="39"/>
      <c r="G28" s="39"/>
      <c r="H28" s="39"/>
    </row>
    <row r="29" spans="1:8">
      <c r="A29" s="10" t="s">
        <v>207</v>
      </c>
      <c r="B29" s="10" t="s">
        <v>289</v>
      </c>
      <c r="C29" s="39"/>
      <c r="D29" s="54"/>
      <c r="E29" s="39"/>
      <c r="F29" s="39"/>
      <c r="G29" s="39">
        <v>300</v>
      </c>
      <c r="H29" s="39"/>
    </row>
    <row r="30" spans="1:8">
      <c r="A30" s="10" t="s">
        <v>209</v>
      </c>
      <c r="B30" s="10" t="s">
        <v>290</v>
      </c>
      <c r="C30" s="39"/>
      <c r="D30" s="54"/>
      <c r="E30" s="39"/>
      <c r="F30" s="39"/>
      <c r="G30" s="39"/>
      <c r="H30" s="39"/>
    </row>
    <row r="31" spans="1:8">
      <c r="A31" s="10" t="s">
        <v>208</v>
      </c>
      <c r="B31" s="10" t="s">
        <v>291</v>
      </c>
      <c r="C31" s="39"/>
      <c r="D31" s="54"/>
      <c r="E31" s="39"/>
      <c r="F31" s="39"/>
      <c r="G31" s="39"/>
      <c r="H31" s="39"/>
    </row>
    <row r="32" spans="1:8">
      <c r="A32" s="10" t="s">
        <v>210</v>
      </c>
      <c r="B32" s="10" t="s">
        <v>211</v>
      </c>
      <c r="C32" s="39"/>
      <c r="D32" s="54"/>
      <c r="E32" s="39"/>
      <c r="F32" s="39"/>
      <c r="G32" s="39"/>
      <c r="H32" s="39"/>
    </row>
    <row r="33" spans="1:8">
      <c r="A33" s="10" t="s">
        <v>214</v>
      </c>
      <c r="B33" s="10" t="s">
        <v>215</v>
      </c>
      <c r="C33" s="39"/>
      <c r="D33" s="54"/>
      <c r="E33" s="39"/>
      <c r="F33" s="39"/>
      <c r="G33" s="39"/>
      <c r="H33" s="39"/>
    </row>
    <row r="34" spans="1:8">
      <c r="A34" s="10" t="s">
        <v>213</v>
      </c>
      <c r="B34" s="10" t="s">
        <v>292</v>
      </c>
      <c r="C34" s="39"/>
      <c r="D34" s="54"/>
      <c r="E34" s="39"/>
      <c r="F34" s="39"/>
      <c r="G34" s="39"/>
      <c r="H34" s="39"/>
    </row>
    <row r="35" spans="1:8">
      <c r="A35" s="10" t="s">
        <v>212</v>
      </c>
      <c r="B35" s="10" t="s">
        <v>293</v>
      </c>
      <c r="C35" s="39"/>
      <c r="D35" s="54"/>
      <c r="E35" s="39"/>
      <c r="F35" s="39"/>
      <c r="G35" s="39"/>
      <c r="H35" s="39"/>
    </row>
    <row r="36" spans="1:8">
      <c r="A36" s="10" t="s">
        <v>216</v>
      </c>
      <c r="B36" s="10" t="s">
        <v>294</v>
      </c>
      <c r="C36" s="39"/>
      <c r="D36" s="54"/>
      <c r="E36" s="39"/>
      <c r="F36" s="39"/>
      <c r="G36" s="39"/>
      <c r="H36" s="39"/>
    </row>
    <row r="37" spans="1:8">
      <c r="A37" s="10" t="s">
        <v>217</v>
      </c>
      <c r="B37" s="10" t="s">
        <v>295</v>
      </c>
      <c r="C37" s="40"/>
      <c r="D37" s="55"/>
      <c r="E37" s="40"/>
      <c r="F37" s="40"/>
      <c r="G37" s="40"/>
      <c r="H37" s="40"/>
    </row>
    <row r="38" spans="1:8">
      <c r="B38" s="10" t="s">
        <v>296</v>
      </c>
      <c r="C38" s="39">
        <f t="shared" ref="C38:H38" si="0">+SUM(C13:C37)</f>
        <v>0</v>
      </c>
      <c r="D38" s="54">
        <f t="shared" si="0"/>
        <v>0</v>
      </c>
      <c r="E38" s="39">
        <f t="shared" si="0"/>
        <v>0</v>
      </c>
      <c r="F38" s="39">
        <f t="shared" si="0"/>
        <v>0</v>
      </c>
      <c r="G38" s="39">
        <f t="shared" si="0"/>
        <v>800</v>
      </c>
      <c r="H38" s="39">
        <f t="shared" si="0"/>
        <v>0</v>
      </c>
    </row>
    <row r="39" spans="1:8">
      <c r="C39" s="39"/>
      <c r="D39" s="54"/>
      <c r="E39" s="39"/>
      <c r="F39" s="39"/>
      <c r="G39" s="39"/>
      <c r="H39" s="39"/>
    </row>
    <row r="40" spans="1:8">
      <c r="A40" s="10" t="s">
        <v>297</v>
      </c>
      <c r="C40" s="39"/>
      <c r="D40" s="54"/>
      <c r="E40" s="39"/>
      <c r="F40" s="39"/>
      <c r="G40" s="39"/>
      <c r="H40" s="39"/>
    </row>
    <row r="41" spans="1:8">
      <c r="A41" s="10" t="s">
        <v>218</v>
      </c>
      <c r="B41" s="10" t="s">
        <v>298</v>
      </c>
      <c r="C41" s="39"/>
      <c r="D41" s="54"/>
      <c r="E41" s="39"/>
      <c r="F41" s="39"/>
      <c r="G41" s="39"/>
      <c r="H41" s="39"/>
    </row>
    <row r="42" spans="1:8">
      <c r="A42" s="10" t="s">
        <v>219</v>
      </c>
      <c r="B42" s="10" t="s">
        <v>220</v>
      </c>
      <c r="C42" s="39"/>
      <c r="D42" s="54"/>
      <c r="E42" s="39"/>
      <c r="F42" s="39"/>
      <c r="G42" s="39"/>
      <c r="H42" s="39"/>
    </row>
    <row r="43" spans="1:8">
      <c r="A43" s="10" t="s">
        <v>221</v>
      </c>
      <c r="B43" s="10" t="s">
        <v>222</v>
      </c>
      <c r="C43" s="39"/>
      <c r="D43" s="54"/>
      <c r="E43" s="39"/>
      <c r="F43" s="39"/>
      <c r="G43" s="39"/>
      <c r="H43" s="39"/>
    </row>
    <row r="44" spans="1:8">
      <c r="A44" s="10" t="s">
        <v>223</v>
      </c>
      <c r="B44" s="10" t="s">
        <v>299</v>
      </c>
      <c r="C44" s="39"/>
      <c r="D44" s="54"/>
      <c r="E44" s="39"/>
      <c r="F44" s="39"/>
      <c r="G44" s="39"/>
      <c r="H44" s="39"/>
    </row>
    <row r="45" spans="1:8">
      <c r="A45" s="10" t="s">
        <v>224</v>
      </c>
      <c r="B45" s="10" t="s">
        <v>225</v>
      </c>
      <c r="C45" s="39"/>
      <c r="D45" s="54"/>
      <c r="E45" s="39"/>
      <c r="F45" s="39"/>
      <c r="G45" s="39"/>
      <c r="H45" s="39"/>
    </row>
    <row r="46" spans="1:8">
      <c r="A46" s="10" t="s">
        <v>226</v>
      </c>
      <c r="B46" s="10" t="s">
        <v>227</v>
      </c>
      <c r="C46" s="39"/>
      <c r="D46" s="54"/>
      <c r="E46" s="39"/>
      <c r="F46" s="39"/>
      <c r="G46" s="39"/>
      <c r="H46" s="39"/>
    </row>
    <row r="47" spans="1:8">
      <c r="A47" s="10" t="s">
        <v>228</v>
      </c>
      <c r="B47" s="10" t="s">
        <v>300</v>
      </c>
      <c r="C47" s="39"/>
      <c r="D47" s="54"/>
      <c r="E47" s="39"/>
      <c r="F47" s="39"/>
      <c r="G47" s="39"/>
      <c r="H47" s="39"/>
    </row>
    <row r="48" spans="1:8">
      <c r="A48" s="10" t="s">
        <v>229</v>
      </c>
      <c r="B48" s="10" t="s">
        <v>301</v>
      </c>
      <c r="C48" s="40"/>
      <c r="D48" s="55"/>
      <c r="E48" s="40"/>
      <c r="F48" s="40"/>
      <c r="G48" s="40"/>
      <c r="H48" s="40"/>
    </row>
    <row r="49" spans="1:8">
      <c r="B49" s="10" t="s">
        <v>302</v>
      </c>
      <c r="C49" s="39">
        <f t="shared" ref="C49:H49" si="1">+SUM(C41:C48)</f>
        <v>0</v>
      </c>
      <c r="D49" s="54">
        <f t="shared" si="1"/>
        <v>0</v>
      </c>
      <c r="E49" s="39">
        <f t="shared" si="1"/>
        <v>0</v>
      </c>
      <c r="F49" s="39">
        <f t="shared" si="1"/>
        <v>0</v>
      </c>
      <c r="G49" s="39">
        <f t="shared" si="1"/>
        <v>0</v>
      </c>
      <c r="H49" s="39">
        <f t="shared" si="1"/>
        <v>0</v>
      </c>
    </row>
    <row r="50" spans="1:8">
      <c r="C50" s="39"/>
      <c r="D50" s="54"/>
      <c r="E50" s="39"/>
      <c r="F50" s="39"/>
      <c r="G50" s="39"/>
      <c r="H50" s="39"/>
    </row>
    <row r="51" spans="1:8">
      <c r="A51" s="10" t="s">
        <v>303</v>
      </c>
      <c r="C51" s="39"/>
      <c r="D51" s="54"/>
      <c r="E51" s="39"/>
      <c r="F51" s="39"/>
      <c r="G51" s="39"/>
      <c r="H51" s="39"/>
    </row>
    <row r="52" spans="1:8">
      <c r="A52" s="10" t="s">
        <v>304</v>
      </c>
      <c r="C52" s="39"/>
      <c r="D52" s="54"/>
      <c r="E52" s="39"/>
      <c r="F52" s="39"/>
      <c r="G52" s="39"/>
      <c r="H52" s="39"/>
    </row>
    <row r="53" spans="1:8">
      <c r="A53" s="10" t="s">
        <v>230</v>
      </c>
      <c r="B53" s="10" t="s">
        <v>407</v>
      </c>
      <c r="C53" s="39"/>
      <c r="D53" s="54"/>
      <c r="E53" s="39"/>
      <c r="F53" s="39"/>
      <c r="G53" s="39"/>
      <c r="H53" s="39"/>
    </row>
    <row r="54" spans="1:8">
      <c r="A54" s="10" t="s">
        <v>231</v>
      </c>
      <c r="B54" s="10" t="s">
        <v>408</v>
      </c>
      <c r="C54" s="39"/>
      <c r="D54" s="54"/>
      <c r="E54" s="39"/>
      <c r="F54" s="39"/>
      <c r="G54" s="39"/>
      <c r="H54" s="39"/>
    </row>
    <row r="55" spans="1:8">
      <c r="A55" s="10" t="s">
        <v>232</v>
      </c>
      <c r="B55" s="10" t="s">
        <v>409</v>
      </c>
      <c r="C55" s="39"/>
      <c r="D55" s="54"/>
      <c r="E55" s="39"/>
      <c r="F55" s="39"/>
      <c r="G55" s="39"/>
      <c r="H55" s="39"/>
    </row>
    <row r="56" spans="1:8">
      <c r="A56" s="10" t="s">
        <v>233</v>
      </c>
      <c r="B56" s="10" t="s">
        <v>305</v>
      </c>
      <c r="C56" s="39"/>
      <c r="D56" s="54"/>
      <c r="E56" s="39"/>
      <c r="F56" s="39"/>
      <c r="G56" s="39"/>
      <c r="H56" s="39"/>
    </row>
    <row r="57" spans="1:8">
      <c r="A57" s="10" t="s">
        <v>234</v>
      </c>
      <c r="B57" s="10" t="s">
        <v>306</v>
      </c>
      <c r="C57" s="39"/>
      <c r="D57" s="54"/>
      <c r="E57" s="39"/>
      <c r="F57" s="39"/>
      <c r="G57" s="39"/>
      <c r="H57" s="39"/>
    </row>
    <row r="58" spans="1:8">
      <c r="A58" s="10" t="s">
        <v>0</v>
      </c>
      <c r="B58" s="10" t="s">
        <v>307</v>
      </c>
      <c r="C58" s="39"/>
      <c r="D58" s="54"/>
      <c r="E58" s="39"/>
      <c r="F58" s="39"/>
      <c r="G58" s="39"/>
      <c r="H58" s="39"/>
    </row>
    <row r="59" spans="1:8">
      <c r="A59" s="10" t="s">
        <v>1</v>
      </c>
      <c r="B59" s="10" t="s">
        <v>308</v>
      </c>
      <c r="C59" s="39"/>
      <c r="D59" s="54"/>
      <c r="E59" s="39"/>
      <c r="F59" s="39"/>
      <c r="G59" s="39"/>
      <c r="H59" s="39"/>
    </row>
    <row r="60" spans="1:8">
      <c r="A60" s="10" t="s">
        <v>3</v>
      </c>
      <c r="B60" s="10" t="s">
        <v>2</v>
      </c>
      <c r="C60" s="39"/>
      <c r="D60" s="54"/>
      <c r="E60" s="39"/>
      <c r="F60" s="39"/>
      <c r="G60" s="39"/>
      <c r="H60" s="39"/>
    </row>
    <row r="61" spans="1:8">
      <c r="A61" s="10" t="s">
        <v>4</v>
      </c>
      <c r="B61" s="10" t="s">
        <v>5</v>
      </c>
      <c r="C61" s="39"/>
      <c r="D61" s="54">
        <v>125000</v>
      </c>
      <c r="E61" s="39"/>
      <c r="F61" s="39"/>
      <c r="G61" s="39"/>
      <c r="H61" s="39"/>
    </row>
    <row r="62" spans="1:8">
      <c r="A62" s="10" t="s">
        <v>6</v>
      </c>
      <c r="B62" s="10" t="s">
        <v>7</v>
      </c>
      <c r="C62" s="39"/>
      <c r="D62" s="54"/>
      <c r="E62" s="39"/>
      <c r="F62" s="39"/>
      <c r="G62" s="39"/>
      <c r="H62" s="39"/>
    </row>
    <row r="63" spans="1:8">
      <c r="A63" s="10" t="s">
        <v>8</v>
      </c>
      <c r="B63" s="10" t="s">
        <v>9</v>
      </c>
      <c r="C63" s="39"/>
      <c r="D63" s="54"/>
      <c r="E63" s="39"/>
      <c r="F63" s="39"/>
      <c r="G63" s="39"/>
      <c r="H63" s="39"/>
    </row>
    <row r="64" spans="1:8">
      <c r="A64" s="10" t="s">
        <v>11</v>
      </c>
      <c r="B64" s="10" t="s">
        <v>310</v>
      </c>
      <c r="C64" s="39"/>
      <c r="D64" s="54"/>
      <c r="E64" s="39"/>
      <c r="F64" s="39"/>
      <c r="G64" s="39"/>
      <c r="H64" s="39"/>
    </row>
    <row r="65" spans="1:8">
      <c r="A65" s="10" t="s">
        <v>10</v>
      </c>
      <c r="B65" s="10" t="s">
        <v>309</v>
      </c>
      <c r="C65" s="40"/>
      <c r="D65" s="55"/>
      <c r="E65" s="40"/>
      <c r="F65" s="40"/>
      <c r="G65" s="40"/>
      <c r="H65" s="40"/>
    </row>
    <row r="66" spans="1:8">
      <c r="B66" s="10" t="s">
        <v>311</v>
      </c>
      <c r="C66" s="39">
        <f t="shared" ref="C66:H66" si="2">+SUM(C53:C65)</f>
        <v>0</v>
      </c>
      <c r="D66" s="54">
        <f t="shared" si="2"/>
        <v>125000</v>
      </c>
      <c r="E66" s="39">
        <f t="shared" si="2"/>
        <v>0</v>
      </c>
      <c r="F66" s="39">
        <f t="shared" si="2"/>
        <v>0</v>
      </c>
      <c r="G66" s="39">
        <f t="shared" si="2"/>
        <v>0</v>
      </c>
      <c r="H66" s="39">
        <f t="shared" si="2"/>
        <v>0</v>
      </c>
    </row>
    <row r="67" spans="1:8">
      <c r="C67" s="39"/>
      <c r="D67" s="54"/>
      <c r="E67" s="39"/>
      <c r="F67" s="39"/>
      <c r="G67" s="39"/>
      <c r="H67" s="39"/>
    </row>
    <row r="68" spans="1:8" s="4" customFormat="1" ht="10.5">
      <c r="A68" s="14"/>
      <c r="B68" s="14" t="s">
        <v>312</v>
      </c>
      <c r="C68" s="41">
        <f t="shared" ref="C68:H68" si="3">SUM(C38+C49+C66)</f>
        <v>0</v>
      </c>
      <c r="D68" s="41">
        <f t="shared" si="3"/>
        <v>125000</v>
      </c>
      <c r="E68" s="41">
        <f t="shared" si="3"/>
        <v>0</v>
      </c>
      <c r="F68" s="41">
        <f t="shared" si="3"/>
        <v>0</v>
      </c>
      <c r="G68" s="41">
        <f t="shared" si="3"/>
        <v>800</v>
      </c>
      <c r="H68" s="41">
        <f t="shared" si="3"/>
        <v>0</v>
      </c>
    </row>
    <row r="69" spans="1:8">
      <c r="C69" s="39"/>
      <c r="D69" s="54"/>
      <c r="E69" s="39"/>
      <c r="F69" s="39"/>
      <c r="G69" s="39"/>
      <c r="H69" s="39"/>
    </row>
    <row r="70" spans="1:8">
      <c r="A70" s="10" t="s">
        <v>313</v>
      </c>
      <c r="C70" s="39"/>
      <c r="D70" s="54"/>
      <c r="E70" s="39"/>
      <c r="F70" s="39"/>
      <c r="G70" s="39"/>
      <c r="H70" s="39"/>
    </row>
    <row r="71" spans="1:8">
      <c r="A71" s="10" t="s">
        <v>314</v>
      </c>
      <c r="C71" s="39"/>
      <c r="D71" s="54"/>
      <c r="E71" s="39"/>
      <c r="F71" s="39"/>
      <c r="G71" s="39"/>
      <c r="H71" s="39"/>
    </row>
    <row r="72" spans="1:8">
      <c r="A72" s="10" t="s">
        <v>19</v>
      </c>
      <c r="B72" s="10" t="s">
        <v>323</v>
      </c>
      <c r="C72" s="39">
        <f ca="1">SUM('12-2013 Ret Emp'!I72)</f>
        <v>53962.828622516579</v>
      </c>
      <c r="D72" s="54"/>
      <c r="E72" s="39"/>
      <c r="F72" s="39"/>
      <c r="G72" s="39"/>
      <c r="H72" s="39">
        <v>55000</v>
      </c>
    </row>
    <row r="73" spans="1:8">
      <c r="A73" s="10" t="s">
        <v>12</v>
      </c>
      <c r="B73" s="10" t="s">
        <v>315</v>
      </c>
      <c r="C73" s="39">
        <v>10000</v>
      </c>
      <c r="D73" s="54"/>
      <c r="E73" s="39"/>
      <c r="F73" s="39"/>
      <c r="G73" s="54">
        <f ca="1">SUM('12-2013 Ret Emp'!I22)*G7</f>
        <v>81106.938000000009</v>
      </c>
      <c r="H73" s="39"/>
    </row>
    <row r="74" spans="1:8">
      <c r="A74" s="10" t="s">
        <v>13</v>
      </c>
      <c r="B74" s="10" t="s">
        <v>316</v>
      </c>
      <c r="C74" s="39"/>
      <c r="D74" s="54"/>
      <c r="E74" s="39"/>
      <c r="F74" s="39"/>
      <c r="G74" s="39"/>
      <c r="H74" s="39"/>
    </row>
    <row r="75" spans="1:8">
      <c r="A75" s="10" t="s">
        <v>14</v>
      </c>
      <c r="B75" s="10" t="s">
        <v>317</v>
      </c>
      <c r="C75" s="39"/>
      <c r="D75" s="60">
        <f ca="1">+'AC-SCH'!H126+'12-2013 Ret Emp'!I58</f>
        <v>105546.18579760405</v>
      </c>
      <c r="E75" s="39">
        <f ca="1">SUM('12-2013 Ret Emp'!I5)+44500</f>
        <v>90678.577000000005</v>
      </c>
      <c r="F75" s="39"/>
      <c r="G75" s="39"/>
      <c r="H75" s="39"/>
    </row>
    <row r="76" spans="1:8">
      <c r="A76" s="10" t="s">
        <v>15</v>
      </c>
      <c r="B76" s="10" t="s">
        <v>318</v>
      </c>
      <c r="C76" s="39"/>
      <c r="D76" s="54"/>
      <c r="E76" s="39"/>
      <c r="F76" s="59">
        <f ca="1">+'AC-SCH'!F127+'12-2013 Ret Emp'!I59</f>
        <v>105526.86923459532</v>
      </c>
      <c r="G76" s="39"/>
      <c r="H76" s="39"/>
    </row>
    <row r="77" spans="1:8">
      <c r="A77" s="10" t="s">
        <v>16</v>
      </c>
      <c r="B77" s="10" t="s">
        <v>319</v>
      </c>
      <c r="C77" s="39"/>
      <c r="D77" s="54"/>
      <c r="E77" s="39"/>
      <c r="F77" s="39"/>
      <c r="G77" s="39"/>
      <c r="H77" s="39"/>
    </row>
    <row r="78" spans="1:8">
      <c r="A78" s="10" t="s">
        <v>17</v>
      </c>
      <c r="B78" s="10" t="s">
        <v>320</v>
      </c>
      <c r="C78" s="39"/>
      <c r="D78" s="54"/>
      <c r="E78" s="39"/>
      <c r="F78" s="39"/>
      <c r="G78" s="39"/>
      <c r="H78" s="39"/>
    </row>
    <row r="79" spans="1:8" ht="14.25" customHeight="1">
      <c r="A79" s="10" t="s">
        <v>18</v>
      </c>
      <c r="B79" s="10" t="s">
        <v>322</v>
      </c>
      <c r="C79" s="40"/>
      <c r="D79" s="55"/>
      <c r="E79" s="40"/>
      <c r="F79" s="40"/>
      <c r="G79" s="40"/>
      <c r="H79" s="40"/>
    </row>
    <row r="80" spans="1:8">
      <c r="B80" s="10" t="s">
        <v>24</v>
      </c>
      <c r="C80" s="39">
        <f t="shared" ref="C80:H80" si="4">SUM(C72:C79)</f>
        <v>63962.828622516579</v>
      </c>
      <c r="D80" s="39">
        <f t="shared" si="4"/>
        <v>105546.18579760405</v>
      </c>
      <c r="E80" s="39">
        <f t="shared" si="4"/>
        <v>90678.577000000005</v>
      </c>
      <c r="F80" s="39">
        <f t="shared" si="4"/>
        <v>105526.86923459532</v>
      </c>
      <c r="G80" s="39">
        <f t="shared" si="4"/>
        <v>81106.938000000009</v>
      </c>
      <c r="H80" s="39">
        <f t="shared" si="4"/>
        <v>55000</v>
      </c>
    </row>
    <row r="81" spans="1:8">
      <c r="C81" s="39"/>
      <c r="D81" s="54"/>
      <c r="E81" s="39"/>
      <c r="F81" s="39"/>
      <c r="G81" s="39"/>
      <c r="H81" s="39"/>
    </row>
    <row r="82" spans="1:8">
      <c r="C82" s="39"/>
      <c r="D82" s="54"/>
      <c r="E82" s="39"/>
      <c r="F82" s="39"/>
      <c r="G82" s="39"/>
      <c r="H82" s="39"/>
    </row>
    <row r="83" spans="1:8">
      <c r="A83" s="10" t="s">
        <v>325</v>
      </c>
      <c r="C83" s="39"/>
      <c r="D83" s="54"/>
      <c r="E83" s="39"/>
      <c r="F83" s="39"/>
      <c r="G83" s="39"/>
      <c r="H83" s="39"/>
    </row>
    <row r="84" spans="1:8">
      <c r="A84" s="10" t="s">
        <v>20</v>
      </c>
      <c r="B84" s="10" t="s">
        <v>324</v>
      </c>
      <c r="C84" s="39"/>
      <c r="D84" s="54"/>
      <c r="E84" s="39"/>
      <c r="F84" s="39"/>
      <c r="G84" s="39"/>
      <c r="H84" s="39"/>
    </row>
    <row r="85" spans="1:8">
      <c r="A85" s="10" t="s">
        <v>21</v>
      </c>
      <c r="B85" s="10" t="s">
        <v>325</v>
      </c>
      <c r="C85" s="39"/>
      <c r="D85" s="54"/>
      <c r="E85" s="39"/>
      <c r="F85" s="39"/>
      <c r="G85" s="39"/>
      <c r="H85" s="39"/>
    </row>
    <row r="86" spans="1:8">
      <c r="A86" s="10" t="s">
        <v>440</v>
      </c>
      <c r="B86" s="10" t="s">
        <v>441</v>
      </c>
      <c r="C86" s="39"/>
      <c r="D86" s="54"/>
      <c r="E86" s="39"/>
      <c r="F86" s="39"/>
      <c r="G86" s="39"/>
      <c r="H86" s="39"/>
    </row>
    <row r="87" spans="1:8">
      <c r="A87" s="10" t="s">
        <v>22</v>
      </c>
      <c r="B87" s="10" t="s">
        <v>23</v>
      </c>
      <c r="C87" s="40"/>
      <c r="D87" s="55"/>
      <c r="E87" s="40"/>
      <c r="F87" s="40"/>
      <c r="G87" s="40"/>
      <c r="H87" s="40"/>
    </row>
    <row r="88" spans="1:8">
      <c r="B88" s="10" t="s">
        <v>326</v>
      </c>
      <c r="C88" s="39">
        <f t="shared" ref="C88:H88" si="5">+SUM(C84:C87)</f>
        <v>0</v>
      </c>
      <c r="D88" s="54">
        <f t="shared" si="5"/>
        <v>0</v>
      </c>
      <c r="E88" s="39">
        <f t="shared" si="5"/>
        <v>0</v>
      </c>
      <c r="F88" s="39">
        <f t="shared" si="5"/>
        <v>0</v>
      </c>
      <c r="G88" s="39">
        <f t="shared" si="5"/>
        <v>0</v>
      </c>
      <c r="H88" s="39">
        <f t="shared" si="5"/>
        <v>0</v>
      </c>
    </row>
    <row r="89" spans="1:8">
      <c r="C89" s="39"/>
      <c r="D89" s="54"/>
      <c r="E89" s="39"/>
      <c r="F89" s="39"/>
      <c r="G89" s="39"/>
      <c r="H89" s="39"/>
    </row>
    <row r="90" spans="1:8">
      <c r="B90" s="10" t="s">
        <v>327</v>
      </c>
      <c r="C90" s="39">
        <f t="shared" ref="C90:H90" si="6">SUM(C80+C88)</f>
        <v>63962.828622516579</v>
      </c>
      <c r="D90" s="39">
        <f t="shared" si="6"/>
        <v>105546.18579760405</v>
      </c>
      <c r="E90" s="39">
        <f t="shared" si="6"/>
        <v>90678.577000000005</v>
      </c>
      <c r="F90" s="39">
        <f t="shared" si="6"/>
        <v>105526.86923459532</v>
      </c>
      <c r="G90" s="39">
        <f t="shared" si="6"/>
        <v>81106.938000000009</v>
      </c>
      <c r="H90" s="39">
        <f t="shared" si="6"/>
        <v>55000</v>
      </c>
    </row>
    <row r="91" spans="1:8">
      <c r="C91" s="39"/>
      <c r="D91" s="54"/>
      <c r="E91" s="39"/>
      <c r="F91" s="39"/>
      <c r="G91" s="39"/>
      <c r="H91" s="39"/>
    </row>
    <row r="92" spans="1:8">
      <c r="A92" s="10" t="s">
        <v>328</v>
      </c>
      <c r="C92" s="39"/>
      <c r="D92" s="54"/>
      <c r="E92" s="39"/>
      <c r="F92" s="39"/>
      <c r="G92" s="39"/>
      <c r="H92" s="39"/>
    </row>
    <row r="93" spans="1:8">
      <c r="A93" s="10" t="s">
        <v>25</v>
      </c>
      <c r="B93" s="10" t="s">
        <v>33</v>
      </c>
      <c r="C93" s="39">
        <f t="shared" ref="C93:H93" si="7">+C$7*139.64*2*1.05*12</f>
        <v>3518.9279999999999</v>
      </c>
      <c r="D93" s="54">
        <f t="shared" si="7"/>
        <v>7037.8559999999998</v>
      </c>
      <c r="E93" s="39">
        <f t="shared" si="7"/>
        <v>7037.8559999999998</v>
      </c>
      <c r="F93" s="39">
        <f t="shared" si="7"/>
        <v>7037.8559999999998</v>
      </c>
      <c r="G93" s="39">
        <f t="shared" si="7"/>
        <v>7037.8559999999998</v>
      </c>
      <c r="H93" s="39">
        <f t="shared" si="7"/>
        <v>3518.9279999999999</v>
      </c>
    </row>
    <row r="94" spans="1:8">
      <c r="A94" s="10" t="s">
        <v>26</v>
      </c>
      <c r="B94" s="10" t="s">
        <v>34</v>
      </c>
      <c r="C94" s="39">
        <f>+C$7*8.74*2*1.02*12*0.67</f>
        <v>143.34998400000001</v>
      </c>
      <c r="D94" s="54">
        <f>+D$7*8.74*2*1.02*12</f>
        <v>427.91039999999998</v>
      </c>
      <c r="E94" s="39">
        <f>+E$7*8.74*2*1.02*12*0.67</f>
        <v>286.69996800000001</v>
      </c>
      <c r="F94" s="39">
        <f>+F$7*8.74*2*1.02*12*0.67</f>
        <v>286.69996800000001</v>
      </c>
      <c r="G94" s="39">
        <f>+G$7*8.74*2*1.02*12*0.67</f>
        <v>286.69996800000001</v>
      </c>
      <c r="H94" s="39">
        <f>+H$7*8.74*2*1.02*12*0.67</f>
        <v>143.34998400000001</v>
      </c>
    </row>
    <row r="95" spans="1:8">
      <c r="A95" s="10" t="s">
        <v>28</v>
      </c>
      <c r="B95" s="10" t="s">
        <v>27</v>
      </c>
      <c r="C95" s="39">
        <f t="shared" ref="C95:H95" si="8">(+C$88-C$84+C$80)*0.062</f>
        <v>3965.6953745960277</v>
      </c>
      <c r="D95" s="54">
        <f t="shared" si="8"/>
        <v>6543.8635194514509</v>
      </c>
      <c r="E95" s="39">
        <f t="shared" si="8"/>
        <v>5622.071774</v>
      </c>
      <c r="F95" s="39">
        <f t="shared" si="8"/>
        <v>6542.6658925449092</v>
      </c>
      <c r="G95" s="39">
        <f t="shared" si="8"/>
        <v>5028.6301560000002</v>
      </c>
      <c r="H95" s="39">
        <f t="shared" si="8"/>
        <v>3410</v>
      </c>
    </row>
    <row r="96" spans="1:8">
      <c r="A96" s="10" t="s">
        <v>30</v>
      </c>
      <c r="B96" s="10" t="s">
        <v>29</v>
      </c>
      <c r="C96" s="39">
        <f t="shared" ref="C96:H96" si="9">(+C$88-C$84+C$80)*0.0145</f>
        <v>927.46101502649049</v>
      </c>
      <c r="D96" s="54">
        <f t="shared" si="9"/>
        <v>1530.4196940652587</v>
      </c>
      <c r="E96" s="39">
        <f t="shared" si="9"/>
        <v>1314.8393665000001</v>
      </c>
      <c r="F96" s="39">
        <f t="shared" si="9"/>
        <v>1530.1396039016322</v>
      </c>
      <c r="G96" s="39">
        <f t="shared" si="9"/>
        <v>1176.0506010000001</v>
      </c>
      <c r="H96" s="39">
        <f t="shared" si="9"/>
        <v>797.5</v>
      </c>
    </row>
    <row r="97" spans="1:8">
      <c r="A97" s="10" t="s">
        <v>31</v>
      </c>
      <c r="B97" s="10" t="s">
        <v>32</v>
      </c>
      <c r="C97" s="39">
        <f>(+C$88-C$84+C$80)*0.06*0.65</f>
        <v>2494.5503162781465</v>
      </c>
      <c r="D97" s="54">
        <f>(+D$88-D$84+D$80)*0.06</f>
        <v>6332.7711478562424</v>
      </c>
      <c r="E97" s="39">
        <f>(+E$88-E$84+E$80)*0.06*0.65</f>
        <v>3536.4645030000001</v>
      </c>
      <c r="F97" s="39">
        <f>(+F$88-F$84+F$80)*0.06*0.65</f>
        <v>4115.5479001492176</v>
      </c>
      <c r="G97" s="39">
        <f>(+G$88-G$84+G$80)*0.06*0.65</f>
        <v>3163.1705820000002</v>
      </c>
      <c r="H97" s="39">
        <f>(+H$88-H$84+H$80)*0.06*0.65</f>
        <v>2145</v>
      </c>
    </row>
    <row r="98" spans="1:8">
      <c r="A98" s="10" t="s">
        <v>36</v>
      </c>
      <c r="B98" s="10" t="s">
        <v>35</v>
      </c>
      <c r="C98" s="39">
        <f t="shared" ref="C98:H98" si="10">(+C$88-C$84+C$80)*0.0056</f>
        <v>358.19184028609283</v>
      </c>
      <c r="D98" s="54">
        <f t="shared" si="10"/>
        <v>591.05864046658269</v>
      </c>
      <c r="E98" s="39">
        <f t="shared" si="10"/>
        <v>507.80003120000003</v>
      </c>
      <c r="F98" s="39">
        <f t="shared" si="10"/>
        <v>590.95046771373381</v>
      </c>
      <c r="G98" s="39">
        <f t="shared" si="10"/>
        <v>454.19885280000005</v>
      </c>
      <c r="H98" s="39">
        <f t="shared" si="10"/>
        <v>308</v>
      </c>
    </row>
    <row r="99" spans="1:8">
      <c r="A99" s="10" t="s">
        <v>38</v>
      </c>
      <c r="B99" s="10" t="s">
        <v>37</v>
      </c>
      <c r="C99" s="39">
        <f t="shared" ref="C99:H99" si="11">+C$7*7700*0.0201</f>
        <v>154.77000000000001</v>
      </c>
      <c r="D99" s="54">
        <f t="shared" si="11"/>
        <v>309.54000000000002</v>
      </c>
      <c r="E99" s="39">
        <f t="shared" si="11"/>
        <v>309.54000000000002</v>
      </c>
      <c r="F99" s="39">
        <f t="shared" si="11"/>
        <v>309.54000000000002</v>
      </c>
      <c r="G99" s="39">
        <f t="shared" si="11"/>
        <v>309.54000000000002</v>
      </c>
      <c r="H99" s="39">
        <f t="shared" si="11"/>
        <v>154.77000000000001</v>
      </c>
    </row>
    <row r="100" spans="1:8">
      <c r="A100" s="10" t="s">
        <v>83</v>
      </c>
      <c r="B100" s="10" t="s">
        <v>84</v>
      </c>
      <c r="C100" s="39"/>
      <c r="D100" s="54"/>
      <c r="E100" s="39"/>
      <c r="F100" s="39"/>
      <c r="G100" s="39"/>
      <c r="H100" s="39"/>
    </row>
    <row r="101" spans="1:8">
      <c r="A101" s="10" t="s">
        <v>39</v>
      </c>
      <c r="B101" s="10" t="s">
        <v>40</v>
      </c>
      <c r="C101" s="40">
        <f t="shared" ref="C101:H101" si="12">(+C$88-C$84+C$80)*(0.0024+0.0036+0.0013)</f>
        <v>466.92864894437105</v>
      </c>
      <c r="D101" s="55">
        <f t="shared" si="12"/>
        <v>770.48715632250958</v>
      </c>
      <c r="E101" s="40">
        <f t="shared" si="12"/>
        <v>661.95361209999999</v>
      </c>
      <c r="F101" s="40">
        <f t="shared" si="12"/>
        <v>770.34614541254587</v>
      </c>
      <c r="G101" s="40">
        <f t="shared" si="12"/>
        <v>592.08064740000009</v>
      </c>
      <c r="H101" s="40">
        <f t="shared" si="12"/>
        <v>401.5</v>
      </c>
    </row>
    <row r="102" spans="1:8">
      <c r="B102" s="10" t="s">
        <v>235</v>
      </c>
      <c r="C102" s="39">
        <f t="shared" ref="C102:H102" si="13">SUM(C93:C101)</f>
        <v>12029.875179131128</v>
      </c>
      <c r="D102" s="39">
        <f t="shared" si="13"/>
        <v>23543.906558162042</v>
      </c>
      <c r="E102" s="39">
        <f t="shared" si="13"/>
        <v>19277.2252548</v>
      </c>
      <c r="F102" s="39">
        <f t="shared" si="13"/>
        <v>21183.745977722039</v>
      </c>
      <c r="G102" s="39">
        <f t="shared" si="13"/>
        <v>18048.226807200001</v>
      </c>
      <c r="H102" s="39">
        <f t="shared" si="13"/>
        <v>10879.047984000001</v>
      </c>
    </row>
    <row r="103" spans="1:8">
      <c r="C103" s="39"/>
      <c r="D103" s="54"/>
      <c r="E103" s="39"/>
      <c r="F103" s="39"/>
      <c r="G103" s="39"/>
      <c r="H103" s="39"/>
    </row>
    <row r="104" spans="1:8" s="4" customFormat="1" ht="10.5">
      <c r="A104" s="14"/>
      <c r="B104" s="14" t="s">
        <v>236</v>
      </c>
      <c r="C104" s="41">
        <f t="shared" ref="C104:H104" si="14">SUM(C90+C102)</f>
        <v>75992.703801647702</v>
      </c>
      <c r="D104" s="41">
        <f t="shared" si="14"/>
        <v>129090.09235576609</v>
      </c>
      <c r="E104" s="41">
        <f t="shared" si="14"/>
        <v>109955.8022548</v>
      </c>
      <c r="F104" s="41">
        <f t="shared" si="14"/>
        <v>126710.61521231735</v>
      </c>
      <c r="G104" s="41">
        <f t="shared" si="14"/>
        <v>99155.16480720001</v>
      </c>
      <c r="H104" s="41">
        <f t="shared" si="14"/>
        <v>65879.047984000004</v>
      </c>
    </row>
    <row r="105" spans="1:8">
      <c r="C105" s="39"/>
      <c r="D105" s="54"/>
      <c r="E105" s="39"/>
      <c r="F105" s="39"/>
      <c r="G105" s="39"/>
      <c r="H105" s="39"/>
    </row>
    <row r="106" spans="1:8">
      <c r="A106" s="10" t="s">
        <v>237</v>
      </c>
      <c r="C106" s="39"/>
      <c r="D106" s="54"/>
      <c r="E106" s="39"/>
      <c r="F106" s="39"/>
      <c r="G106" s="39"/>
      <c r="H106" s="39"/>
    </row>
    <row r="107" spans="1:8">
      <c r="A107" s="10" t="s">
        <v>238</v>
      </c>
      <c r="C107" s="39"/>
      <c r="D107" s="54"/>
      <c r="E107" s="39"/>
      <c r="F107" s="39"/>
      <c r="G107" s="39"/>
      <c r="H107" s="39"/>
    </row>
    <row r="108" spans="1:8">
      <c r="A108" s="10" t="s">
        <v>51</v>
      </c>
      <c r="B108" s="10" t="s">
        <v>50</v>
      </c>
      <c r="C108" s="39"/>
      <c r="D108" s="54"/>
      <c r="E108" s="39"/>
      <c r="F108" s="39"/>
      <c r="G108" s="39"/>
      <c r="H108" s="39"/>
    </row>
    <row r="109" spans="1:8">
      <c r="A109" s="10" t="s">
        <v>41</v>
      </c>
      <c r="B109" s="10" t="s">
        <v>42</v>
      </c>
      <c r="C109" s="39">
        <v>7500</v>
      </c>
      <c r="D109" s="54">
        <v>2500</v>
      </c>
      <c r="E109" s="39">
        <v>6000</v>
      </c>
      <c r="F109" s="39"/>
      <c r="G109" s="39"/>
      <c r="H109" s="39"/>
    </row>
    <row r="110" spans="1:8">
      <c r="A110" s="10" t="s">
        <v>43</v>
      </c>
      <c r="B110" s="10" t="s">
        <v>239</v>
      </c>
      <c r="C110" s="39"/>
      <c r="D110" s="54"/>
      <c r="E110" s="39"/>
      <c r="F110" s="39"/>
      <c r="G110" s="39"/>
      <c r="H110" s="39">
        <v>500</v>
      </c>
    </row>
    <row r="111" spans="1:8">
      <c r="A111" s="10" t="s">
        <v>44</v>
      </c>
      <c r="B111" s="10" t="s">
        <v>45</v>
      </c>
      <c r="C111" s="39"/>
      <c r="D111" s="54"/>
      <c r="E111" s="39"/>
      <c r="F111" s="39"/>
      <c r="G111" s="39"/>
      <c r="H111" s="39"/>
    </row>
    <row r="112" spans="1:8">
      <c r="A112" s="10" t="s">
        <v>46</v>
      </c>
      <c r="B112" s="10" t="s">
        <v>240</v>
      </c>
      <c r="C112" s="39"/>
      <c r="D112" s="54"/>
      <c r="E112" s="39"/>
      <c r="F112" s="39"/>
      <c r="G112" s="39"/>
      <c r="H112" s="39"/>
    </row>
    <row r="113" spans="1:8">
      <c r="A113" s="10" t="s">
        <v>47</v>
      </c>
      <c r="B113" s="10" t="s">
        <v>241</v>
      </c>
      <c r="C113" s="39"/>
      <c r="D113" s="54"/>
      <c r="E113" s="39"/>
      <c r="F113" s="39"/>
      <c r="G113" s="39"/>
      <c r="H113" s="39"/>
    </row>
    <row r="114" spans="1:8">
      <c r="A114" s="10" t="s">
        <v>48</v>
      </c>
      <c r="B114" s="10" t="s">
        <v>49</v>
      </c>
      <c r="C114" s="39"/>
      <c r="D114" s="54"/>
      <c r="E114" s="39"/>
      <c r="F114" s="39"/>
      <c r="G114" s="39"/>
      <c r="H114" s="39"/>
    </row>
    <row r="115" spans="1:8">
      <c r="A115" s="10" t="s">
        <v>82</v>
      </c>
      <c r="B115" s="10" t="s">
        <v>166</v>
      </c>
      <c r="C115" s="39"/>
      <c r="D115" s="54"/>
      <c r="E115" s="39"/>
      <c r="F115" s="39"/>
      <c r="G115" s="39"/>
      <c r="H115" s="39"/>
    </row>
    <row r="116" spans="1:8">
      <c r="A116" s="10" t="s">
        <v>104</v>
      </c>
      <c r="B116" s="10" t="s">
        <v>103</v>
      </c>
      <c r="C116" s="39"/>
      <c r="D116" s="54"/>
      <c r="E116" s="39"/>
      <c r="F116" s="39"/>
      <c r="G116" s="39"/>
      <c r="H116" s="39"/>
    </row>
    <row r="117" spans="1:8">
      <c r="A117" s="10" t="s">
        <v>59</v>
      </c>
      <c r="B117" s="10" t="s">
        <v>321</v>
      </c>
      <c r="C117" s="39"/>
      <c r="D117" s="54"/>
      <c r="E117" s="39"/>
      <c r="F117" s="39"/>
      <c r="G117" s="39"/>
      <c r="H117" s="39"/>
    </row>
    <row r="118" spans="1:8">
      <c r="A118" s="10" t="s">
        <v>87</v>
      </c>
      <c r="B118" s="10" t="s">
        <v>88</v>
      </c>
      <c r="C118" s="39"/>
      <c r="D118" s="54"/>
      <c r="E118" s="39"/>
      <c r="F118" s="39"/>
      <c r="G118" s="39"/>
      <c r="H118" s="39"/>
    </row>
    <row r="119" spans="1:8">
      <c r="A119" s="10" t="s">
        <v>89</v>
      </c>
      <c r="B119" s="10" t="s">
        <v>90</v>
      </c>
      <c r="C119" s="39"/>
      <c r="D119" s="54"/>
      <c r="E119" s="39"/>
      <c r="F119" s="39"/>
      <c r="G119" s="39"/>
      <c r="H119" s="39"/>
    </row>
    <row r="120" spans="1:8">
      <c r="A120" s="10" t="s">
        <v>450</v>
      </c>
      <c r="B120" s="10" t="s">
        <v>451</v>
      </c>
      <c r="C120" s="39"/>
      <c r="D120" s="54"/>
      <c r="E120" s="39"/>
      <c r="F120" s="39"/>
      <c r="G120" s="39"/>
      <c r="H120" s="39"/>
    </row>
    <row r="121" spans="1:8">
      <c r="A121" s="10" t="s">
        <v>52</v>
      </c>
      <c r="B121" s="10" t="s">
        <v>53</v>
      </c>
      <c r="C121" s="40"/>
      <c r="D121" s="55"/>
      <c r="E121" s="40"/>
      <c r="F121" s="40"/>
      <c r="G121" s="40"/>
      <c r="H121" s="40"/>
    </row>
    <row r="122" spans="1:8">
      <c r="B122" s="10" t="s">
        <v>242</v>
      </c>
      <c r="C122" s="39">
        <f t="shared" ref="C122:H122" si="15">SUM(C108:C121)</f>
        <v>7500</v>
      </c>
      <c r="D122" s="39">
        <f t="shared" si="15"/>
        <v>2500</v>
      </c>
      <c r="E122" s="39">
        <f t="shared" si="15"/>
        <v>6000</v>
      </c>
      <c r="F122" s="39">
        <f t="shared" si="15"/>
        <v>0</v>
      </c>
      <c r="G122" s="39">
        <f t="shared" si="15"/>
        <v>0</v>
      </c>
      <c r="H122" s="39">
        <f t="shared" si="15"/>
        <v>500</v>
      </c>
    </row>
    <row r="123" spans="1:8">
      <c r="C123" s="39"/>
      <c r="D123" s="54"/>
      <c r="E123" s="39"/>
      <c r="F123" s="39"/>
      <c r="G123" s="39"/>
      <c r="H123" s="39"/>
    </row>
    <row r="124" spans="1:8">
      <c r="A124" s="10" t="s">
        <v>243</v>
      </c>
      <c r="C124" s="39"/>
      <c r="D124" s="54"/>
      <c r="E124" s="39"/>
      <c r="F124" s="39"/>
      <c r="G124" s="39"/>
      <c r="H124" s="39"/>
    </row>
    <row r="125" spans="1:8">
      <c r="A125" s="10" t="s">
        <v>56</v>
      </c>
      <c r="B125" s="10" t="s">
        <v>246</v>
      </c>
      <c r="C125" s="39"/>
      <c r="D125" s="54"/>
      <c r="E125" s="39"/>
      <c r="F125" s="39"/>
      <c r="G125" s="39"/>
      <c r="H125" s="39"/>
    </row>
    <row r="126" spans="1:8">
      <c r="A126" s="10" t="s">
        <v>57</v>
      </c>
      <c r="B126" s="10" t="s">
        <v>247</v>
      </c>
      <c r="C126" s="39"/>
      <c r="D126" s="54"/>
      <c r="E126" s="39"/>
      <c r="F126" s="39"/>
      <c r="G126" s="39"/>
      <c r="H126" s="39"/>
    </row>
    <row r="127" spans="1:8">
      <c r="A127" s="10" t="s">
        <v>58</v>
      </c>
      <c r="B127" s="10" t="s">
        <v>248</v>
      </c>
      <c r="C127" s="39"/>
      <c r="D127" s="54"/>
      <c r="E127" s="39"/>
      <c r="F127" s="39"/>
      <c r="G127" s="39"/>
      <c r="H127" s="39"/>
    </row>
    <row r="128" spans="1:8">
      <c r="A128" s="10" t="s">
        <v>55</v>
      </c>
      <c r="B128" s="10" t="s">
        <v>245</v>
      </c>
      <c r="C128" s="39"/>
      <c r="D128" s="54"/>
      <c r="E128" s="39"/>
      <c r="F128" s="39"/>
      <c r="G128" s="39"/>
      <c r="H128" s="39"/>
    </row>
    <row r="129" spans="1:8" ht="10.5" customHeight="1">
      <c r="A129" s="10" t="s">
        <v>54</v>
      </c>
      <c r="B129" s="10" t="s">
        <v>244</v>
      </c>
      <c r="C129" s="39"/>
      <c r="D129" s="54"/>
      <c r="E129" s="39"/>
      <c r="F129" s="39"/>
      <c r="G129" s="39"/>
      <c r="H129" s="39"/>
    </row>
    <row r="130" spans="1:8">
      <c r="A130" s="10" t="s">
        <v>60</v>
      </c>
      <c r="B130" s="10" t="s">
        <v>61</v>
      </c>
      <c r="C130" s="39"/>
      <c r="D130" s="54"/>
      <c r="E130" s="39"/>
      <c r="F130" s="39"/>
      <c r="G130" s="39"/>
      <c r="H130" s="39"/>
    </row>
    <row r="131" spans="1:8">
      <c r="A131" s="10" t="s">
        <v>448</v>
      </c>
      <c r="B131" s="10" t="s">
        <v>449</v>
      </c>
      <c r="C131" s="39"/>
      <c r="D131" s="54"/>
      <c r="E131" s="39"/>
      <c r="F131" s="39"/>
      <c r="G131" s="39"/>
      <c r="H131" s="39"/>
    </row>
    <row r="132" spans="1:8">
      <c r="A132" s="10" t="s">
        <v>62</v>
      </c>
      <c r="B132" s="10" t="s">
        <v>249</v>
      </c>
      <c r="C132" s="40"/>
      <c r="D132" s="55"/>
      <c r="E132" s="40"/>
      <c r="F132" s="40"/>
      <c r="G132" s="40"/>
      <c r="H132" s="40"/>
    </row>
    <row r="133" spans="1:8">
      <c r="B133" s="10" t="s">
        <v>250</v>
      </c>
      <c r="C133" s="39">
        <f t="shared" ref="C133:H133" si="16">SUM(C125:C132)</f>
        <v>0</v>
      </c>
      <c r="D133" s="39">
        <f t="shared" si="16"/>
        <v>0</v>
      </c>
      <c r="E133" s="39">
        <f t="shared" si="16"/>
        <v>0</v>
      </c>
      <c r="F133" s="39">
        <f t="shared" si="16"/>
        <v>0</v>
      </c>
      <c r="G133" s="39">
        <f t="shared" si="16"/>
        <v>0</v>
      </c>
      <c r="H133" s="39">
        <f t="shared" si="16"/>
        <v>0</v>
      </c>
    </row>
    <row r="134" spans="1:8">
      <c r="C134" s="39"/>
      <c r="D134" s="54"/>
      <c r="E134" s="39"/>
      <c r="F134" s="39"/>
      <c r="G134" s="39"/>
      <c r="H134" s="39"/>
    </row>
    <row r="135" spans="1:8">
      <c r="A135" s="10" t="s">
        <v>251</v>
      </c>
      <c r="C135" s="39"/>
      <c r="D135" s="54"/>
      <c r="E135" s="39"/>
      <c r="F135" s="39"/>
      <c r="G135" s="39"/>
      <c r="H135" s="39"/>
    </row>
    <row r="136" spans="1:8">
      <c r="A136" s="10" t="s">
        <v>252</v>
      </c>
      <c r="C136" s="39"/>
      <c r="D136" s="54"/>
      <c r="E136" s="39"/>
      <c r="F136" s="39"/>
      <c r="G136" s="39"/>
      <c r="H136" s="39"/>
    </row>
    <row r="137" spans="1:8">
      <c r="A137" s="10" t="s">
        <v>63</v>
      </c>
      <c r="B137" s="10" t="s">
        <v>253</v>
      </c>
      <c r="C137" s="39"/>
      <c r="D137" s="54"/>
      <c r="E137" s="39"/>
      <c r="F137" s="39"/>
      <c r="G137" s="39"/>
      <c r="H137" s="39"/>
    </row>
    <row r="138" spans="1:8">
      <c r="A138" s="10" t="s">
        <v>64</v>
      </c>
      <c r="B138" s="10" t="s">
        <v>254</v>
      </c>
      <c r="C138" s="39"/>
      <c r="D138" s="54"/>
      <c r="E138" s="39"/>
      <c r="F138" s="39"/>
      <c r="G138" s="39"/>
      <c r="H138" s="39"/>
    </row>
    <row r="139" spans="1:8">
      <c r="A139" s="10" t="s">
        <v>454</v>
      </c>
      <c r="B139" s="10" t="s">
        <v>455</v>
      </c>
      <c r="C139" s="39"/>
      <c r="D139" s="54"/>
      <c r="E139" s="39"/>
      <c r="F139" s="39"/>
      <c r="G139" s="39"/>
      <c r="H139" s="39"/>
    </row>
    <row r="140" spans="1:8">
      <c r="A140" s="10" t="s">
        <v>65</v>
      </c>
      <c r="B140" s="10" t="s">
        <v>255</v>
      </c>
      <c r="C140" s="40"/>
      <c r="D140" s="55"/>
      <c r="E140" s="40"/>
      <c r="F140" s="40"/>
      <c r="G140" s="40"/>
      <c r="H140" s="40"/>
    </row>
    <row r="141" spans="1:8">
      <c r="B141" s="10" t="s">
        <v>256</v>
      </c>
      <c r="C141" s="39">
        <f t="shared" ref="C141:H141" si="17">SUM(C137:C140)</f>
        <v>0</v>
      </c>
      <c r="D141" s="39">
        <f t="shared" si="17"/>
        <v>0</v>
      </c>
      <c r="E141" s="39">
        <f t="shared" si="17"/>
        <v>0</v>
      </c>
      <c r="F141" s="39">
        <f t="shared" si="17"/>
        <v>0</v>
      </c>
      <c r="G141" s="39">
        <f t="shared" si="17"/>
        <v>0</v>
      </c>
      <c r="H141" s="39">
        <f t="shared" si="17"/>
        <v>0</v>
      </c>
    </row>
    <row r="142" spans="1:8">
      <c r="C142" s="39"/>
      <c r="D142" s="54"/>
      <c r="E142" s="39"/>
      <c r="F142" s="39"/>
      <c r="G142" s="39"/>
      <c r="H142" s="39"/>
    </row>
    <row r="143" spans="1:8">
      <c r="A143" s="10" t="s">
        <v>257</v>
      </c>
      <c r="C143" s="39"/>
      <c r="D143" s="54"/>
      <c r="E143" s="39"/>
      <c r="F143" s="39"/>
      <c r="G143" s="39"/>
      <c r="H143" s="39"/>
    </row>
    <row r="144" spans="1:8">
      <c r="A144" s="10" t="s">
        <v>66</v>
      </c>
      <c r="B144" s="10" t="s">
        <v>258</v>
      </c>
      <c r="C144" s="39"/>
      <c r="D144" s="54"/>
      <c r="E144" s="39"/>
      <c r="F144" s="39"/>
      <c r="G144" s="39"/>
      <c r="H144" s="39"/>
    </row>
    <row r="145" spans="1:8">
      <c r="A145" s="10" t="s">
        <v>67</v>
      </c>
      <c r="B145" s="10" t="s">
        <v>259</v>
      </c>
      <c r="C145" s="39"/>
      <c r="D145" s="54"/>
      <c r="E145" s="39"/>
      <c r="F145" s="39"/>
      <c r="G145" s="39"/>
      <c r="H145" s="39"/>
    </row>
    <row r="146" spans="1:8">
      <c r="A146" s="10" t="s">
        <v>68</v>
      </c>
      <c r="B146" s="10" t="s">
        <v>260</v>
      </c>
      <c r="C146" s="39"/>
      <c r="D146" s="54">
        <f>55*12*2</f>
        <v>1320</v>
      </c>
      <c r="E146" s="39">
        <f>55*12*2</f>
        <v>1320</v>
      </c>
      <c r="F146" s="39">
        <f>55*12*2</f>
        <v>1320</v>
      </c>
      <c r="G146" s="39"/>
      <c r="H146" s="39">
        <v>660</v>
      </c>
    </row>
    <row r="147" spans="1:8">
      <c r="A147" s="10" t="s">
        <v>69</v>
      </c>
      <c r="B147" s="10" t="s">
        <v>261</v>
      </c>
      <c r="C147" s="39"/>
      <c r="D147" s="54"/>
      <c r="E147" s="39"/>
      <c r="F147" s="39"/>
      <c r="G147" s="39"/>
      <c r="H147" s="39"/>
    </row>
    <row r="148" spans="1:8" ht="12" customHeight="1">
      <c r="A148" s="10" t="s">
        <v>70</v>
      </c>
      <c r="B148" s="10" t="s">
        <v>262</v>
      </c>
      <c r="C148" s="39"/>
      <c r="D148" s="54"/>
      <c r="E148" s="39"/>
      <c r="F148" s="39"/>
      <c r="G148" s="39"/>
      <c r="H148" s="39"/>
    </row>
    <row r="149" spans="1:8">
      <c r="A149" s="10" t="s">
        <v>462</v>
      </c>
      <c r="B149" s="10" t="s">
        <v>464</v>
      </c>
      <c r="C149" s="40"/>
      <c r="D149" s="55"/>
      <c r="E149" s="40"/>
      <c r="F149" s="40"/>
      <c r="G149" s="40"/>
      <c r="H149" s="40"/>
    </row>
    <row r="150" spans="1:8">
      <c r="B150" s="10" t="s">
        <v>263</v>
      </c>
      <c r="C150" s="39">
        <f t="shared" ref="C150:H150" si="18">SUM(C144:C149)</f>
        <v>0</v>
      </c>
      <c r="D150" s="39">
        <f t="shared" si="18"/>
        <v>1320</v>
      </c>
      <c r="E150" s="39">
        <f t="shared" si="18"/>
        <v>1320</v>
      </c>
      <c r="F150" s="39">
        <f t="shared" si="18"/>
        <v>1320</v>
      </c>
      <c r="G150" s="39">
        <f t="shared" si="18"/>
        <v>0</v>
      </c>
      <c r="H150" s="39">
        <f t="shared" si="18"/>
        <v>660</v>
      </c>
    </row>
    <row r="151" spans="1:8">
      <c r="C151" s="39"/>
      <c r="D151" s="54"/>
      <c r="E151" s="39"/>
      <c r="F151" s="39"/>
      <c r="G151" s="39"/>
      <c r="H151" s="39"/>
    </row>
    <row r="152" spans="1:8">
      <c r="A152" s="10" t="s">
        <v>264</v>
      </c>
      <c r="C152" s="39"/>
      <c r="D152" s="54"/>
      <c r="E152" s="39"/>
      <c r="F152" s="39"/>
      <c r="G152" s="39"/>
      <c r="H152" s="39"/>
    </row>
    <row r="153" spans="1:8">
      <c r="A153" s="10" t="s">
        <v>265</v>
      </c>
      <c r="C153" s="39"/>
      <c r="D153" s="54"/>
      <c r="E153" s="39"/>
      <c r="F153" s="39"/>
      <c r="G153" s="39"/>
      <c r="H153" s="39"/>
    </row>
    <row r="154" spans="1:8">
      <c r="A154" s="10" t="s">
        <v>71</v>
      </c>
      <c r="B154" s="10" t="s">
        <v>72</v>
      </c>
      <c r="C154" s="40">
        <v>500</v>
      </c>
      <c r="D154" s="55">
        <v>750</v>
      </c>
      <c r="E154" s="40">
        <v>750</v>
      </c>
      <c r="F154" s="40">
        <v>750</v>
      </c>
      <c r="G154" s="40">
        <v>500</v>
      </c>
      <c r="H154" s="40">
        <v>1500</v>
      </c>
    </row>
    <row r="155" spans="1:8">
      <c r="B155" s="10" t="s">
        <v>266</v>
      </c>
      <c r="C155" s="39">
        <f t="shared" ref="C155:H155" si="19">SUM(C154)</f>
        <v>500</v>
      </c>
      <c r="D155" s="39">
        <f t="shared" si="19"/>
        <v>750</v>
      </c>
      <c r="E155" s="39">
        <f t="shared" si="19"/>
        <v>750</v>
      </c>
      <c r="F155" s="39">
        <f t="shared" si="19"/>
        <v>750</v>
      </c>
      <c r="G155" s="39">
        <f t="shared" si="19"/>
        <v>500</v>
      </c>
      <c r="H155" s="39">
        <f t="shared" si="19"/>
        <v>1500</v>
      </c>
    </row>
    <row r="156" spans="1:8">
      <c r="C156" s="39"/>
      <c r="D156" s="54"/>
      <c r="E156" s="39"/>
      <c r="F156" s="39"/>
      <c r="G156" s="39"/>
      <c r="H156" s="39"/>
    </row>
    <row r="157" spans="1:8">
      <c r="A157" s="10" t="s">
        <v>267</v>
      </c>
      <c r="C157" s="39"/>
      <c r="D157" s="54"/>
      <c r="E157" s="39"/>
      <c r="F157" s="39"/>
      <c r="G157" s="39"/>
      <c r="H157" s="39"/>
    </row>
    <row r="158" spans="1:8">
      <c r="A158" s="10" t="s">
        <v>73</v>
      </c>
      <c r="B158" s="10" t="s">
        <v>74</v>
      </c>
      <c r="C158" s="39">
        <f>4000+500+150+4000</f>
        <v>8650</v>
      </c>
      <c r="D158" s="54">
        <f>1500+1500</f>
        <v>3000</v>
      </c>
      <c r="E158" s="39">
        <f>750+750</f>
        <v>1500</v>
      </c>
      <c r="F158" s="39">
        <f>1400+3000</f>
        <v>4400</v>
      </c>
      <c r="G158" s="39">
        <f>350+350</f>
        <v>700</v>
      </c>
      <c r="H158" s="39">
        <v>2500</v>
      </c>
    </row>
    <row r="159" spans="1:8">
      <c r="A159" s="10" t="s">
        <v>75</v>
      </c>
      <c r="B159" s="10" t="s">
        <v>154</v>
      </c>
      <c r="C159" s="39"/>
      <c r="D159" s="54"/>
      <c r="E159" s="39"/>
      <c r="F159" s="39"/>
      <c r="G159" s="39">
        <v>725</v>
      </c>
      <c r="H159" s="39"/>
    </row>
    <row r="160" spans="1:8">
      <c r="A160" s="10" t="s">
        <v>846</v>
      </c>
      <c r="B160" s="10" t="s">
        <v>97</v>
      </c>
      <c r="C160" s="39"/>
      <c r="D160" s="54"/>
      <c r="E160" s="39"/>
      <c r="F160" s="39"/>
      <c r="G160" s="39"/>
      <c r="H160" s="39"/>
    </row>
    <row r="161" spans="1:8">
      <c r="A161" s="10" t="s">
        <v>847</v>
      </c>
      <c r="B161" s="10" t="s">
        <v>458</v>
      </c>
      <c r="C161" s="39"/>
      <c r="D161" s="54"/>
      <c r="E161" s="39"/>
      <c r="F161" s="39"/>
      <c r="G161" s="39"/>
      <c r="H161" s="39"/>
    </row>
    <row r="162" spans="1:8">
      <c r="A162" s="10" t="s">
        <v>492</v>
      </c>
      <c r="B162" s="10" t="s">
        <v>460</v>
      </c>
      <c r="C162" s="39"/>
      <c r="D162" s="54"/>
      <c r="E162" s="39"/>
      <c r="F162" s="39"/>
      <c r="G162" s="39"/>
      <c r="H162" s="39"/>
    </row>
    <row r="163" spans="1:8">
      <c r="A163" s="10" t="s">
        <v>493</v>
      </c>
      <c r="B163" s="10" t="s">
        <v>453</v>
      </c>
      <c r="C163" s="39"/>
      <c r="D163" s="54"/>
      <c r="E163" s="39"/>
      <c r="F163" s="39"/>
      <c r="G163" s="39"/>
      <c r="H163" s="39"/>
    </row>
    <row r="164" spans="1:8">
      <c r="A164" s="10" t="s">
        <v>76</v>
      </c>
      <c r="B164" s="10" t="s">
        <v>155</v>
      </c>
      <c r="C164" s="39"/>
      <c r="D164" s="54"/>
      <c r="E164" s="39"/>
      <c r="F164" s="39"/>
      <c r="G164" s="39"/>
      <c r="H164" s="39"/>
    </row>
    <row r="165" spans="1:8">
      <c r="A165" s="10" t="s">
        <v>79</v>
      </c>
      <c r="B165" s="10" t="s">
        <v>156</v>
      </c>
      <c r="C165" s="39"/>
      <c r="D165" s="54"/>
      <c r="E165" s="39"/>
      <c r="F165" s="39"/>
      <c r="G165" s="39"/>
      <c r="H165" s="39"/>
    </row>
    <row r="166" spans="1:8">
      <c r="A166" s="10" t="s">
        <v>78</v>
      </c>
      <c r="B166" s="10" t="s">
        <v>157</v>
      </c>
      <c r="C166" s="39"/>
      <c r="D166" s="54"/>
      <c r="E166" s="39"/>
      <c r="F166" s="39"/>
      <c r="G166" s="39"/>
      <c r="H166" s="39"/>
    </row>
    <row r="167" spans="1:8">
      <c r="A167" s="10" t="s">
        <v>77</v>
      </c>
      <c r="B167" s="10" t="s">
        <v>158</v>
      </c>
      <c r="C167" s="39"/>
      <c r="D167" s="54"/>
      <c r="E167" s="39"/>
      <c r="F167" s="39"/>
      <c r="G167" s="39"/>
      <c r="H167" s="39">
        <v>4500</v>
      </c>
    </row>
    <row r="168" spans="1:8">
      <c r="A168" s="10" t="s">
        <v>80</v>
      </c>
      <c r="B168" s="10" t="s">
        <v>159</v>
      </c>
      <c r="C168" s="39">
        <v>7000</v>
      </c>
      <c r="D168" s="54"/>
      <c r="E168" s="39"/>
      <c r="F168" s="39"/>
      <c r="G168" s="39"/>
      <c r="H168" s="39">
        <v>3000</v>
      </c>
    </row>
    <row r="169" spans="1:8">
      <c r="A169" s="10" t="s">
        <v>81</v>
      </c>
      <c r="B169" s="10" t="s">
        <v>160</v>
      </c>
      <c r="C169" s="39"/>
      <c r="D169" s="54"/>
      <c r="E169" s="39"/>
      <c r="F169" s="39"/>
      <c r="G169" s="39">
        <f>19*12+500</f>
        <v>728</v>
      </c>
      <c r="H169" s="39"/>
    </row>
    <row r="170" spans="1:8">
      <c r="A170" s="10" t="s">
        <v>161</v>
      </c>
      <c r="B170" s="10" t="s">
        <v>162</v>
      </c>
      <c r="C170" s="40"/>
      <c r="D170" s="55"/>
      <c r="E170" s="40"/>
      <c r="F170" s="40"/>
      <c r="G170" s="40">
        <f>1000+30000+30000</f>
        <v>61000</v>
      </c>
      <c r="H170" s="40"/>
    </row>
    <row r="171" spans="1:8">
      <c r="B171" s="10" t="s">
        <v>163</v>
      </c>
      <c r="C171" s="39">
        <f t="shared" ref="C171:H171" si="20">SUM(C158:C170)</f>
        <v>15650</v>
      </c>
      <c r="D171" s="39">
        <f t="shared" si="20"/>
        <v>3000</v>
      </c>
      <c r="E171" s="39">
        <f t="shared" si="20"/>
        <v>1500</v>
      </c>
      <c r="F171" s="39">
        <f t="shared" si="20"/>
        <v>4400</v>
      </c>
      <c r="G171" s="39">
        <f t="shared" si="20"/>
        <v>63153</v>
      </c>
      <c r="H171" s="39">
        <f t="shared" si="20"/>
        <v>10000</v>
      </c>
    </row>
    <row r="172" spans="1:8">
      <c r="C172" s="39"/>
      <c r="D172" s="54"/>
      <c r="E172" s="39"/>
      <c r="F172" s="39"/>
      <c r="G172" s="39"/>
      <c r="H172" s="39"/>
    </row>
    <row r="173" spans="1:8">
      <c r="A173" s="10" t="s">
        <v>164</v>
      </c>
      <c r="C173" s="39"/>
      <c r="D173" s="54"/>
      <c r="E173" s="39"/>
      <c r="F173" s="39"/>
      <c r="G173" s="39"/>
      <c r="H173" s="39"/>
    </row>
    <row r="174" spans="1:8">
      <c r="A174" s="10" t="s">
        <v>165</v>
      </c>
      <c r="C174" s="39"/>
      <c r="D174" s="54"/>
      <c r="E174" s="39"/>
      <c r="F174" s="39"/>
      <c r="G174" s="39"/>
      <c r="H174" s="39"/>
    </row>
    <row r="175" spans="1:8">
      <c r="A175" s="10" t="s">
        <v>86</v>
      </c>
      <c r="B175" s="10" t="s">
        <v>85</v>
      </c>
      <c r="C175" s="39"/>
      <c r="D175" s="54"/>
      <c r="E175" s="39"/>
      <c r="F175" s="39"/>
      <c r="G175" s="39"/>
      <c r="H175" s="39"/>
    </row>
    <row r="176" spans="1:8">
      <c r="A176" s="10" t="s">
        <v>91</v>
      </c>
      <c r="B176" s="10" t="s">
        <v>92</v>
      </c>
      <c r="C176" s="39"/>
      <c r="D176" s="54"/>
      <c r="E176" s="39"/>
      <c r="F176" s="39"/>
      <c r="G176" s="39"/>
      <c r="H176" s="39"/>
    </row>
    <row r="177" spans="1:8">
      <c r="A177" s="10" t="s">
        <v>93</v>
      </c>
      <c r="B177" s="10" t="s">
        <v>94</v>
      </c>
      <c r="C177" s="39"/>
      <c r="D177" s="54"/>
      <c r="E177" s="39"/>
      <c r="F177" s="39"/>
      <c r="G177" s="39"/>
      <c r="H177" s="39"/>
    </row>
    <row r="178" spans="1:8">
      <c r="A178" s="10" t="s">
        <v>95</v>
      </c>
      <c r="B178" s="10" t="s">
        <v>432</v>
      </c>
      <c r="C178" s="39"/>
      <c r="D178" s="54"/>
      <c r="E178" s="39"/>
      <c r="F178" s="39"/>
      <c r="G178" s="39"/>
      <c r="H178" s="39"/>
    </row>
    <row r="179" spans="1:8">
      <c r="A179" s="10" t="s">
        <v>96</v>
      </c>
      <c r="B179" s="10" t="s">
        <v>431</v>
      </c>
      <c r="C179" s="39"/>
      <c r="D179" s="54"/>
      <c r="E179" s="39"/>
      <c r="F179" s="39"/>
      <c r="G179" s="39"/>
      <c r="H179" s="39"/>
    </row>
    <row r="180" spans="1:8">
      <c r="A180" s="10" t="s">
        <v>98</v>
      </c>
      <c r="B180" s="10" t="s">
        <v>99</v>
      </c>
      <c r="C180" s="39"/>
      <c r="D180" s="54"/>
      <c r="E180" s="39"/>
      <c r="F180" s="39"/>
      <c r="G180" s="39"/>
      <c r="H180" s="39"/>
    </row>
    <row r="181" spans="1:8">
      <c r="A181" s="10" t="s">
        <v>100</v>
      </c>
      <c r="B181" s="10" t="s">
        <v>287</v>
      </c>
      <c r="C181" s="39"/>
      <c r="D181" s="54"/>
      <c r="E181" s="39"/>
      <c r="F181" s="39"/>
      <c r="G181" s="39"/>
      <c r="H181" s="39"/>
    </row>
    <row r="182" spans="1:8">
      <c r="A182" s="10" t="s">
        <v>101</v>
      </c>
      <c r="B182" s="10" t="s">
        <v>102</v>
      </c>
      <c r="C182" s="39"/>
      <c r="D182" s="54"/>
      <c r="E182" s="39"/>
      <c r="F182" s="39"/>
      <c r="G182" s="39"/>
      <c r="H182" s="39"/>
    </row>
    <row r="183" spans="1:8">
      <c r="A183" s="10" t="s">
        <v>105</v>
      </c>
      <c r="B183" s="10" t="s">
        <v>167</v>
      </c>
      <c r="C183" s="39"/>
      <c r="D183" s="54"/>
      <c r="E183" s="39"/>
      <c r="F183" s="39"/>
      <c r="G183" s="39"/>
      <c r="H183" s="39"/>
    </row>
    <row r="184" spans="1:8">
      <c r="A184" s="10" t="s">
        <v>106</v>
      </c>
      <c r="B184" s="10" t="s">
        <v>107</v>
      </c>
      <c r="C184" s="39"/>
      <c r="D184" s="54"/>
      <c r="E184" s="39"/>
      <c r="F184" s="39"/>
      <c r="G184" s="39"/>
      <c r="H184" s="39"/>
    </row>
    <row r="185" spans="1:8">
      <c r="A185" s="10" t="s">
        <v>465</v>
      </c>
      <c r="B185" s="10" t="s">
        <v>466</v>
      </c>
      <c r="C185" s="40"/>
      <c r="D185" s="55"/>
      <c r="E185" s="40"/>
      <c r="F185" s="40"/>
      <c r="G185" s="40"/>
      <c r="H185" s="40"/>
    </row>
    <row r="186" spans="1:8">
      <c r="B186" s="10" t="s">
        <v>168</v>
      </c>
      <c r="C186" s="39">
        <f t="shared" ref="C186:H186" si="21">SUM(C175:C185)</f>
        <v>0</v>
      </c>
      <c r="D186" s="39">
        <f t="shared" si="21"/>
        <v>0</v>
      </c>
      <c r="E186" s="39">
        <f t="shared" si="21"/>
        <v>0</v>
      </c>
      <c r="F186" s="39">
        <f t="shared" si="21"/>
        <v>0</v>
      </c>
      <c r="G186" s="39">
        <f t="shared" si="21"/>
        <v>0</v>
      </c>
      <c r="H186" s="39">
        <f t="shared" si="21"/>
        <v>0</v>
      </c>
    </row>
    <row r="187" spans="1:8">
      <c r="C187" s="39"/>
      <c r="D187" s="54"/>
      <c r="E187" s="39"/>
      <c r="F187" s="39"/>
      <c r="G187" s="39"/>
      <c r="H187" s="39"/>
    </row>
    <row r="188" spans="1:8" s="4" customFormat="1" ht="10.5">
      <c r="A188" s="14"/>
      <c r="B188" s="14" t="s">
        <v>169</v>
      </c>
      <c r="C188" s="41">
        <f t="shared" ref="C188:H188" si="22">+C122+C133+C141+C150+C155+C171+C186</f>
        <v>23650</v>
      </c>
      <c r="D188" s="57">
        <f t="shared" si="22"/>
        <v>7570</v>
      </c>
      <c r="E188" s="41">
        <f t="shared" si="22"/>
        <v>9570</v>
      </c>
      <c r="F188" s="41">
        <f t="shared" si="22"/>
        <v>6470</v>
      </c>
      <c r="G188" s="41">
        <f t="shared" si="22"/>
        <v>63653</v>
      </c>
      <c r="H188" s="41">
        <f t="shared" si="22"/>
        <v>12660</v>
      </c>
    </row>
    <row r="189" spans="1:8">
      <c r="C189" s="39"/>
      <c r="D189" s="54"/>
      <c r="E189" s="39"/>
      <c r="F189" s="39"/>
      <c r="G189" s="39"/>
      <c r="H189" s="39"/>
    </row>
    <row r="190" spans="1:8">
      <c r="C190" s="39"/>
      <c r="D190" s="54"/>
      <c r="E190" s="39"/>
      <c r="F190" s="39"/>
      <c r="G190" s="39"/>
      <c r="H190" s="39"/>
    </row>
    <row r="191" spans="1:8" s="4" customFormat="1" ht="10.5">
      <c r="A191" s="14">
        <f>+SUM(C191:H191)</f>
        <v>-604556.4264157312</v>
      </c>
      <c r="B191" s="14" t="s">
        <v>170</v>
      </c>
      <c r="C191" s="41">
        <f t="shared" ref="C191:H191" si="23">SUM(C68-C104-C188)</f>
        <v>-99642.703801647702</v>
      </c>
      <c r="D191" s="41">
        <f t="shared" si="23"/>
        <v>-11660.092355766086</v>
      </c>
      <c r="E191" s="41">
        <f t="shared" si="23"/>
        <v>-119525.8022548</v>
      </c>
      <c r="F191" s="41">
        <f t="shared" si="23"/>
        <v>-133180.61521231735</v>
      </c>
      <c r="G191" s="41">
        <f t="shared" si="23"/>
        <v>-162008.16480720002</v>
      </c>
      <c r="H191" s="41">
        <f t="shared" si="23"/>
        <v>-78539.047984000004</v>
      </c>
    </row>
  </sheetData>
  <phoneticPr fontId="3" type="noConversion"/>
  <pageMargins left="0.56999999999999995" right="0.17" top="1" bottom="0.42" header="0.17" footer="0.17"/>
  <pageSetup fitToHeight="2" orientation="landscape" r:id="rId1"/>
  <headerFooter alignWithMargins="0">
    <oddHeader>&amp;C&amp;"MS Sans Serif,Bold"&amp;13INTERNATIONAL SCHOOL OF LOUISIANA
ACADEMIC SUPPORT
Budget '12-2013
&amp;A</oddHeader>
    <oddFooter>&amp;L&amp;6&amp;Z&amp;F&amp;R&amp;P of &amp;N</oddFooter>
  </headerFooter>
  <ignoredErrors>
    <ignoredError sqref="C10:D10" numberStoredAsText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94"/>
  <sheetViews>
    <sheetView zoomScaleNormal="100" workbookViewId="0">
      <pane xSplit="2" ySplit="10" topLeftCell="C137" activePane="bottomRight" state="frozen"/>
      <selection pane="topRight" activeCell="C1" sqref="C1"/>
      <selection pane="bottomLeft" activeCell="A11" sqref="A11"/>
      <selection pane="bottomRight" activeCell="C151" sqref="C151"/>
    </sheetView>
  </sheetViews>
  <sheetFormatPr defaultColWidth="11.42578125" defaultRowHeight="11.25"/>
  <cols>
    <col min="1" max="1" width="24.28515625" style="10" customWidth="1"/>
    <col min="2" max="2" width="26.85546875" style="10" customWidth="1"/>
    <col min="3" max="5" width="11.42578125" style="1"/>
    <col min="6" max="6" width="3.28515625" style="1" customWidth="1"/>
    <col min="7" max="7" width="11.42578125" style="56"/>
    <col min="8" max="16384" width="11.42578125" style="1"/>
  </cols>
  <sheetData>
    <row r="5" spans="1:7">
      <c r="B5" s="11"/>
    </row>
    <row r="7" spans="1:7" s="8" customFormat="1">
      <c r="A7" s="12"/>
      <c r="B7" s="12" t="s">
        <v>371</v>
      </c>
      <c r="C7" s="62">
        <v>3</v>
      </c>
      <c r="D7" s="62">
        <v>2</v>
      </c>
      <c r="E7" s="62">
        <v>2</v>
      </c>
      <c r="G7" s="64">
        <f>SUM(C7:F7)</f>
        <v>7</v>
      </c>
    </row>
    <row r="8" spans="1:7">
      <c r="B8" s="10" t="s">
        <v>502</v>
      </c>
      <c r="C8" s="23">
        <v>50</v>
      </c>
      <c r="D8" s="23">
        <v>25</v>
      </c>
      <c r="E8" s="23">
        <v>25</v>
      </c>
    </row>
    <row r="9" spans="1:7">
      <c r="C9" s="1" t="s">
        <v>500</v>
      </c>
      <c r="D9" s="1" t="s">
        <v>501</v>
      </c>
      <c r="E9" s="1" t="s">
        <v>509</v>
      </c>
    </row>
    <row r="10" spans="1:7" s="7" customFormat="1">
      <c r="A10" s="13"/>
      <c r="B10" s="13" t="s">
        <v>174</v>
      </c>
      <c r="C10" s="7">
        <v>3200</v>
      </c>
      <c r="D10" s="7">
        <v>3200</v>
      </c>
      <c r="E10" s="7">
        <v>3200</v>
      </c>
      <c r="G10" s="58"/>
    </row>
    <row r="11" spans="1:7">
      <c r="A11" s="10" t="s">
        <v>271</v>
      </c>
    </row>
    <row r="12" spans="1:7">
      <c r="A12" s="10" t="s">
        <v>272</v>
      </c>
    </row>
    <row r="13" spans="1:7">
      <c r="A13" s="10" t="s">
        <v>171</v>
      </c>
      <c r="B13" s="10" t="s">
        <v>273</v>
      </c>
      <c r="C13" s="39"/>
      <c r="D13" s="39"/>
      <c r="E13" s="39"/>
      <c r="G13" s="67">
        <f>SUM(C13:D13)</f>
        <v>0</v>
      </c>
    </row>
    <row r="14" spans="1:7">
      <c r="A14" s="10" t="s">
        <v>172</v>
      </c>
      <c r="B14" s="10" t="s">
        <v>274</v>
      </c>
      <c r="C14" s="39"/>
      <c r="D14" s="39"/>
      <c r="E14" s="39"/>
      <c r="G14" s="67">
        <f t="shared" ref="G14:G37" si="0">SUM(C14:D14)</f>
        <v>0</v>
      </c>
    </row>
    <row r="15" spans="1:7">
      <c r="A15" s="10" t="s">
        <v>173</v>
      </c>
      <c r="B15" s="10" t="s">
        <v>275</v>
      </c>
      <c r="C15" s="39"/>
      <c r="D15" s="39"/>
      <c r="E15" s="39"/>
      <c r="G15" s="67">
        <f t="shared" si="0"/>
        <v>0</v>
      </c>
    </row>
    <row r="16" spans="1:7">
      <c r="A16" s="10" t="s">
        <v>194</v>
      </c>
      <c r="B16" s="10" t="s">
        <v>276</v>
      </c>
      <c r="C16" s="39"/>
      <c r="D16" s="39"/>
      <c r="E16" s="39"/>
      <c r="G16" s="67">
        <f t="shared" si="0"/>
        <v>0</v>
      </c>
    </row>
    <row r="17" spans="1:7">
      <c r="A17" s="10" t="s">
        <v>195</v>
      </c>
      <c r="B17" s="10" t="s">
        <v>277</v>
      </c>
      <c r="C17" s="39">
        <f>150*9*C8</f>
        <v>67500</v>
      </c>
      <c r="D17" s="39">
        <f>150*9*D8</f>
        <v>33750</v>
      </c>
      <c r="E17" s="39">
        <f>150*9*E8</f>
        <v>33750</v>
      </c>
      <c r="G17" s="67">
        <f t="shared" si="0"/>
        <v>101250</v>
      </c>
    </row>
    <row r="18" spans="1:7">
      <c r="A18" s="10" t="s">
        <v>196</v>
      </c>
      <c r="B18" s="10" t="s">
        <v>278</v>
      </c>
      <c r="C18" s="39"/>
      <c r="D18" s="39"/>
      <c r="E18" s="39"/>
      <c r="G18" s="67">
        <f t="shared" si="0"/>
        <v>0</v>
      </c>
    </row>
    <row r="19" spans="1:7">
      <c r="A19" s="10" t="s">
        <v>197</v>
      </c>
      <c r="B19" s="10" t="s">
        <v>279</v>
      </c>
      <c r="C19" s="39"/>
      <c r="D19" s="39"/>
      <c r="E19" s="39"/>
      <c r="G19" s="67">
        <f t="shared" si="0"/>
        <v>0</v>
      </c>
    </row>
    <row r="20" spans="1:7">
      <c r="A20" s="10" t="s">
        <v>198</v>
      </c>
      <c r="B20" s="10" t="s">
        <v>280</v>
      </c>
      <c r="C20" s="39"/>
      <c r="D20" s="39"/>
      <c r="E20" s="39"/>
      <c r="G20" s="67">
        <f t="shared" si="0"/>
        <v>0</v>
      </c>
    </row>
    <row r="21" spans="1:7">
      <c r="A21" s="10" t="s">
        <v>199</v>
      </c>
      <c r="B21" s="10" t="s">
        <v>281</v>
      </c>
      <c r="C21" s="39"/>
      <c r="D21" s="39"/>
      <c r="E21" s="39"/>
      <c r="G21" s="67">
        <f t="shared" si="0"/>
        <v>0</v>
      </c>
    </row>
    <row r="22" spans="1:7">
      <c r="A22" s="10" t="s">
        <v>200</v>
      </c>
      <c r="B22" s="10" t="s">
        <v>282</v>
      </c>
      <c r="C22" s="39"/>
      <c r="D22" s="39"/>
      <c r="E22" s="39"/>
      <c r="G22" s="67">
        <f t="shared" si="0"/>
        <v>0</v>
      </c>
    </row>
    <row r="23" spans="1:7">
      <c r="A23" s="10" t="s">
        <v>201</v>
      </c>
      <c r="B23" s="10" t="s">
        <v>283</v>
      </c>
      <c r="C23" s="39"/>
      <c r="D23" s="39"/>
      <c r="E23" s="39"/>
      <c r="G23" s="67">
        <f t="shared" si="0"/>
        <v>0</v>
      </c>
    </row>
    <row r="24" spans="1:7">
      <c r="A24" s="10" t="s">
        <v>202</v>
      </c>
      <c r="B24" s="10" t="s">
        <v>284</v>
      </c>
      <c r="C24" s="39"/>
      <c r="D24" s="39"/>
      <c r="E24" s="39"/>
      <c r="G24" s="67">
        <f t="shared" si="0"/>
        <v>0</v>
      </c>
    </row>
    <row r="25" spans="1:7">
      <c r="A25" s="10" t="s">
        <v>203</v>
      </c>
      <c r="B25" s="10" t="s">
        <v>285</v>
      </c>
      <c r="C25" s="39"/>
      <c r="D25" s="39"/>
      <c r="E25" s="39"/>
      <c r="G25" s="67">
        <f t="shared" si="0"/>
        <v>0</v>
      </c>
    </row>
    <row r="26" spans="1:7">
      <c r="A26" s="10" t="s">
        <v>204</v>
      </c>
      <c r="B26" s="10" t="s">
        <v>286</v>
      </c>
      <c r="C26" s="39"/>
      <c r="D26" s="39"/>
      <c r="E26" s="39"/>
      <c r="G26" s="67">
        <f t="shared" si="0"/>
        <v>0</v>
      </c>
    </row>
    <row r="27" spans="1:7">
      <c r="A27" s="10" t="s">
        <v>205</v>
      </c>
      <c r="B27" s="10" t="s">
        <v>287</v>
      </c>
      <c r="C27" s="39"/>
      <c r="D27" s="39"/>
      <c r="E27" s="39"/>
      <c r="G27" s="67">
        <f t="shared" si="0"/>
        <v>0</v>
      </c>
    </row>
    <row r="28" spans="1:7">
      <c r="A28" s="10" t="s">
        <v>206</v>
      </c>
      <c r="B28" s="10" t="s">
        <v>288</v>
      </c>
      <c r="C28" s="39"/>
      <c r="D28" s="39"/>
      <c r="E28" s="39"/>
      <c r="G28" s="67">
        <f t="shared" si="0"/>
        <v>0</v>
      </c>
    </row>
    <row r="29" spans="1:7">
      <c r="A29" s="10" t="s">
        <v>207</v>
      </c>
      <c r="B29" s="10" t="s">
        <v>289</v>
      </c>
      <c r="C29" s="39"/>
      <c r="D29" s="39"/>
      <c r="E29" s="39"/>
      <c r="G29" s="67">
        <f t="shared" si="0"/>
        <v>0</v>
      </c>
    </row>
    <row r="30" spans="1:7">
      <c r="A30" s="10" t="s">
        <v>209</v>
      </c>
      <c r="B30" s="10" t="s">
        <v>290</v>
      </c>
      <c r="C30" s="39"/>
      <c r="D30" s="39"/>
      <c r="E30" s="39"/>
      <c r="G30" s="67">
        <f t="shared" si="0"/>
        <v>0</v>
      </c>
    </row>
    <row r="31" spans="1:7">
      <c r="A31" s="10" t="s">
        <v>208</v>
      </c>
      <c r="B31" s="10" t="s">
        <v>291</v>
      </c>
      <c r="C31" s="39"/>
      <c r="D31" s="39"/>
      <c r="E31" s="39"/>
      <c r="G31" s="67">
        <f t="shared" si="0"/>
        <v>0</v>
      </c>
    </row>
    <row r="32" spans="1:7">
      <c r="A32" s="10" t="s">
        <v>210</v>
      </c>
      <c r="B32" s="10" t="s">
        <v>211</v>
      </c>
      <c r="C32" s="39"/>
      <c r="D32" s="39"/>
      <c r="E32" s="39"/>
      <c r="G32" s="67">
        <f t="shared" si="0"/>
        <v>0</v>
      </c>
    </row>
    <row r="33" spans="1:7">
      <c r="A33" s="10" t="s">
        <v>214</v>
      </c>
      <c r="B33" s="10" t="s">
        <v>215</v>
      </c>
      <c r="C33" s="39"/>
      <c r="D33" s="39"/>
      <c r="E33" s="39"/>
      <c r="G33" s="67">
        <f t="shared" si="0"/>
        <v>0</v>
      </c>
    </row>
    <row r="34" spans="1:7">
      <c r="A34" s="10" t="s">
        <v>213</v>
      </c>
      <c r="B34" s="10" t="s">
        <v>292</v>
      </c>
      <c r="C34" s="39">
        <v>7200</v>
      </c>
      <c r="D34" s="39">
        <v>0</v>
      </c>
      <c r="E34" s="39">
        <v>0</v>
      </c>
      <c r="G34" s="67">
        <f t="shared" si="0"/>
        <v>7200</v>
      </c>
    </row>
    <row r="35" spans="1:7">
      <c r="A35" s="10" t="s">
        <v>212</v>
      </c>
      <c r="B35" s="10" t="s">
        <v>293</v>
      </c>
      <c r="C35" s="39"/>
      <c r="D35" s="39"/>
      <c r="E35" s="39"/>
      <c r="G35" s="67">
        <f t="shared" si="0"/>
        <v>0</v>
      </c>
    </row>
    <row r="36" spans="1:7">
      <c r="A36" s="10" t="s">
        <v>216</v>
      </c>
      <c r="B36" s="10" t="s">
        <v>294</v>
      </c>
      <c r="C36" s="39"/>
      <c r="D36" s="39"/>
      <c r="E36" s="39"/>
      <c r="G36" s="67">
        <f t="shared" si="0"/>
        <v>0</v>
      </c>
    </row>
    <row r="37" spans="1:7">
      <c r="A37" s="10" t="s">
        <v>217</v>
      </c>
      <c r="B37" s="10" t="s">
        <v>295</v>
      </c>
      <c r="C37" s="40"/>
      <c r="D37" s="40"/>
      <c r="E37" s="40"/>
      <c r="G37" s="66">
        <f t="shared" si="0"/>
        <v>0</v>
      </c>
    </row>
    <row r="38" spans="1:7">
      <c r="B38" s="10" t="s">
        <v>296</v>
      </c>
      <c r="C38" s="39">
        <f>SUM(C13:C37)</f>
        <v>74700</v>
      </c>
      <c r="D38" s="39">
        <f>SUM(D13:D37)</f>
        <v>33750</v>
      </c>
      <c r="E38" s="39">
        <f>SUM(E13:E37)</f>
        <v>33750</v>
      </c>
      <c r="G38" s="41">
        <f>SUM(G13:G37)</f>
        <v>108450</v>
      </c>
    </row>
    <row r="39" spans="1:7">
      <c r="C39" s="39"/>
      <c r="D39" s="39"/>
      <c r="E39" s="39"/>
      <c r="G39" s="57"/>
    </row>
    <row r="40" spans="1:7">
      <c r="A40" s="10" t="s">
        <v>297</v>
      </c>
      <c r="C40" s="39"/>
      <c r="D40" s="39"/>
      <c r="E40" s="39"/>
      <c r="G40" s="57"/>
    </row>
    <row r="41" spans="1:7">
      <c r="A41" s="10" t="s">
        <v>218</v>
      </c>
      <c r="B41" s="10" t="s">
        <v>298</v>
      </c>
      <c r="C41" s="39"/>
      <c r="D41" s="39"/>
      <c r="E41" s="39"/>
      <c r="G41" s="67">
        <f t="shared" ref="G41:G48" si="1">SUM(C41:D41)</f>
        <v>0</v>
      </c>
    </row>
    <row r="42" spans="1:7">
      <c r="A42" s="10" t="s">
        <v>219</v>
      </c>
      <c r="B42" s="10" t="s">
        <v>220</v>
      </c>
      <c r="C42" s="39"/>
      <c r="D42" s="39"/>
      <c r="E42" s="39"/>
      <c r="G42" s="67">
        <f t="shared" si="1"/>
        <v>0</v>
      </c>
    </row>
    <row r="43" spans="1:7">
      <c r="A43" s="10" t="s">
        <v>221</v>
      </c>
      <c r="B43" s="10" t="s">
        <v>222</v>
      </c>
      <c r="C43" s="39"/>
      <c r="D43" s="39"/>
      <c r="E43" s="39"/>
      <c r="G43" s="67">
        <f t="shared" si="1"/>
        <v>0</v>
      </c>
    </row>
    <row r="44" spans="1:7">
      <c r="A44" s="10" t="s">
        <v>223</v>
      </c>
      <c r="B44" s="10" t="s">
        <v>299</v>
      </c>
      <c r="C44" s="39"/>
      <c r="D44" s="39"/>
      <c r="E44" s="39"/>
      <c r="G44" s="67">
        <f t="shared" si="1"/>
        <v>0</v>
      </c>
    </row>
    <row r="45" spans="1:7">
      <c r="A45" s="10" t="s">
        <v>224</v>
      </c>
      <c r="B45" s="10" t="s">
        <v>225</v>
      </c>
      <c r="C45" s="39"/>
      <c r="D45" s="39"/>
      <c r="E45" s="39"/>
      <c r="G45" s="67">
        <f t="shared" si="1"/>
        <v>0</v>
      </c>
    </row>
    <row r="46" spans="1:7">
      <c r="A46" s="10" t="s">
        <v>226</v>
      </c>
      <c r="B46" s="10" t="s">
        <v>227</v>
      </c>
      <c r="C46" s="39"/>
      <c r="D46" s="39"/>
      <c r="E46" s="39"/>
      <c r="G46" s="67">
        <f t="shared" si="1"/>
        <v>0</v>
      </c>
    </row>
    <row r="47" spans="1:7">
      <c r="A47" s="10" t="s">
        <v>228</v>
      </c>
      <c r="B47" s="10" t="s">
        <v>300</v>
      </c>
      <c r="C47" s="39"/>
      <c r="D47" s="39"/>
      <c r="E47" s="39"/>
      <c r="G47" s="67">
        <f t="shared" si="1"/>
        <v>0</v>
      </c>
    </row>
    <row r="48" spans="1:7">
      <c r="A48" s="10" t="s">
        <v>229</v>
      </c>
      <c r="B48" s="10" t="s">
        <v>301</v>
      </c>
      <c r="C48" s="40"/>
      <c r="D48" s="40"/>
      <c r="E48" s="40"/>
      <c r="G48" s="66">
        <f t="shared" si="1"/>
        <v>0</v>
      </c>
    </row>
    <row r="49" spans="1:7">
      <c r="B49" s="10" t="s">
        <v>302</v>
      </c>
      <c r="C49" s="39">
        <f>SUM(C41:C48)</f>
        <v>0</v>
      </c>
      <c r="D49" s="39">
        <f>SUM(D41:D48)</f>
        <v>0</v>
      </c>
      <c r="E49" s="39">
        <f>SUM(E41:E48)</f>
        <v>0</v>
      </c>
      <c r="G49" s="57">
        <f>SUM(G41:G48)</f>
        <v>0</v>
      </c>
    </row>
    <row r="50" spans="1:7">
      <c r="C50" s="39"/>
      <c r="D50" s="39"/>
      <c r="E50" s="39"/>
      <c r="G50" s="57"/>
    </row>
    <row r="51" spans="1:7">
      <c r="A51" s="10" t="s">
        <v>303</v>
      </c>
      <c r="C51" s="39"/>
      <c r="D51" s="39"/>
      <c r="E51" s="39"/>
      <c r="G51" s="57"/>
    </row>
    <row r="52" spans="1:7">
      <c r="A52" s="10" t="s">
        <v>304</v>
      </c>
      <c r="C52" s="39"/>
      <c r="D52" s="39"/>
      <c r="E52" s="39"/>
      <c r="G52" s="57"/>
    </row>
    <row r="53" spans="1:7">
      <c r="A53" s="10" t="s">
        <v>230</v>
      </c>
      <c r="B53" s="10" t="s">
        <v>407</v>
      </c>
      <c r="C53" s="39"/>
      <c r="D53" s="39"/>
      <c r="E53" s="39"/>
      <c r="G53" s="67">
        <f t="shared" ref="G53:G65" si="2">SUM(C53:D53)</f>
        <v>0</v>
      </c>
    </row>
    <row r="54" spans="1:7">
      <c r="A54" s="10" t="s">
        <v>231</v>
      </c>
      <c r="B54" s="10" t="s">
        <v>408</v>
      </c>
      <c r="C54" s="39"/>
      <c r="D54" s="39"/>
      <c r="E54" s="39"/>
      <c r="G54" s="67">
        <f t="shared" si="2"/>
        <v>0</v>
      </c>
    </row>
    <row r="55" spans="1:7">
      <c r="A55" s="10" t="s">
        <v>232</v>
      </c>
      <c r="B55" s="10" t="s">
        <v>409</v>
      </c>
      <c r="C55" s="39"/>
      <c r="D55" s="39"/>
      <c r="E55" s="39"/>
      <c r="G55" s="67">
        <f t="shared" si="2"/>
        <v>0</v>
      </c>
    </row>
    <row r="56" spans="1:7">
      <c r="A56" s="10" t="s">
        <v>233</v>
      </c>
      <c r="B56" s="10" t="s">
        <v>305</v>
      </c>
      <c r="C56" s="39"/>
      <c r="D56" s="39"/>
      <c r="E56" s="39"/>
      <c r="G56" s="67">
        <f t="shared" si="2"/>
        <v>0</v>
      </c>
    </row>
    <row r="57" spans="1:7">
      <c r="A57" s="10" t="s">
        <v>234</v>
      </c>
      <c r="B57" s="10" t="s">
        <v>306</v>
      </c>
      <c r="C57" s="39"/>
      <c r="D57" s="39"/>
      <c r="E57" s="39"/>
      <c r="G57" s="67">
        <f t="shared" si="2"/>
        <v>0</v>
      </c>
    </row>
    <row r="58" spans="1:7">
      <c r="A58" s="10" t="s">
        <v>0</v>
      </c>
      <c r="B58" s="10" t="s">
        <v>307</v>
      </c>
      <c r="C58" s="39"/>
      <c r="D58" s="39"/>
      <c r="E58" s="39"/>
      <c r="G58" s="67">
        <f t="shared" si="2"/>
        <v>0</v>
      </c>
    </row>
    <row r="59" spans="1:7">
      <c r="A59" s="10" t="s">
        <v>1</v>
      </c>
      <c r="B59" s="10" t="s">
        <v>308</v>
      </c>
      <c r="C59" s="39"/>
      <c r="D59" s="39"/>
      <c r="E59" s="39"/>
      <c r="G59" s="67">
        <f t="shared" si="2"/>
        <v>0</v>
      </c>
    </row>
    <row r="60" spans="1:7">
      <c r="A60" s="10" t="s">
        <v>3</v>
      </c>
      <c r="B60" s="10" t="s">
        <v>2</v>
      </c>
      <c r="C60" s="39"/>
      <c r="D60" s="39"/>
      <c r="E60" s="39"/>
      <c r="G60" s="67">
        <f t="shared" si="2"/>
        <v>0</v>
      </c>
    </row>
    <row r="61" spans="1:7">
      <c r="A61" s="10" t="s">
        <v>4</v>
      </c>
      <c r="B61" s="10" t="s">
        <v>5</v>
      </c>
      <c r="C61" s="39"/>
      <c r="D61" s="39"/>
      <c r="E61" s="39"/>
      <c r="G61" s="67">
        <f t="shared" si="2"/>
        <v>0</v>
      </c>
    </row>
    <row r="62" spans="1:7">
      <c r="A62" s="10" t="s">
        <v>6</v>
      </c>
      <c r="B62" s="10" t="s">
        <v>7</v>
      </c>
      <c r="C62" s="39"/>
      <c r="D62" s="39"/>
      <c r="E62" s="39"/>
      <c r="G62" s="67">
        <f t="shared" si="2"/>
        <v>0</v>
      </c>
    </row>
    <row r="63" spans="1:7">
      <c r="A63" s="10" t="s">
        <v>8</v>
      </c>
      <c r="B63" s="10" t="s">
        <v>9</v>
      </c>
      <c r="C63" s="39"/>
      <c r="D63" s="39"/>
      <c r="E63" s="39"/>
      <c r="G63" s="67">
        <f t="shared" si="2"/>
        <v>0</v>
      </c>
    </row>
    <row r="64" spans="1:7">
      <c r="A64" s="10" t="s">
        <v>11</v>
      </c>
      <c r="B64" s="10" t="s">
        <v>310</v>
      </c>
      <c r="C64" s="39"/>
      <c r="D64" s="39"/>
      <c r="E64" s="39"/>
      <c r="G64" s="67">
        <f t="shared" si="2"/>
        <v>0</v>
      </c>
    </row>
    <row r="65" spans="1:7">
      <c r="A65" s="10" t="s">
        <v>10</v>
      </c>
      <c r="B65" s="10" t="s">
        <v>309</v>
      </c>
      <c r="C65" s="40"/>
      <c r="D65" s="40"/>
      <c r="E65" s="40"/>
      <c r="G65" s="66">
        <f t="shared" si="2"/>
        <v>0</v>
      </c>
    </row>
    <row r="66" spans="1:7">
      <c r="B66" s="10" t="s">
        <v>311</v>
      </c>
      <c r="C66" s="39">
        <f>SUM(C53:C65)</f>
        <v>0</v>
      </c>
      <c r="D66" s="39">
        <f>SUM(D53:D65)</f>
        <v>0</v>
      </c>
      <c r="E66" s="39">
        <f>SUM(E53:E65)</f>
        <v>0</v>
      </c>
      <c r="G66" s="57">
        <f>SUM(G53:G65)</f>
        <v>0</v>
      </c>
    </row>
    <row r="67" spans="1:7">
      <c r="C67" s="39"/>
      <c r="D67" s="39"/>
      <c r="E67" s="39"/>
      <c r="G67" s="57"/>
    </row>
    <row r="68" spans="1:7" s="4" customFormat="1" ht="10.5">
      <c r="A68" s="14"/>
      <c r="B68" s="14" t="s">
        <v>312</v>
      </c>
      <c r="C68" s="41">
        <f>SUM(C38+C49+C66)</f>
        <v>74700</v>
      </c>
      <c r="D68" s="41">
        <f>SUM(D38+D49+D66)</f>
        <v>33750</v>
      </c>
      <c r="E68" s="41">
        <f>SUM(E38+E49+E66)</f>
        <v>33750</v>
      </c>
      <c r="G68" s="41">
        <f>+G66+G49+G38</f>
        <v>108450</v>
      </c>
    </row>
    <row r="69" spans="1:7">
      <c r="C69" s="39"/>
      <c r="D69" s="39"/>
      <c r="E69" s="39"/>
      <c r="G69" s="57"/>
    </row>
    <row r="70" spans="1:7">
      <c r="A70" s="10" t="s">
        <v>313</v>
      </c>
      <c r="C70" s="39"/>
      <c r="D70" s="39"/>
      <c r="E70" s="39"/>
      <c r="G70" s="57"/>
    </row>
    <row r="71" spans="1:7">
      <c r="A71" s="10" t="s">
        <v>314</v>
      </c>
      <c r="C71" s="39"/>
      <c r="D71" s="39"/>
      <c r="E71" s="39"/>
      <c r="G71" s="57"/>
    </row>
    <row r="72" spans="1:7">
      <c r="A72" s="10" t="s">
        <v>19</v>
      </c>
      <c r="B72" s="10" t="s">
        <v>323</v>
      </c>
      <c r="C72" s="39"/>
      <c r="D72" s="39"/>
      <c r="E72" s="39"/>
      <c r="G72" s="67">
        <f t="shared" ref="G72:G79" si="3">SUM(C72:D72)</f>
        <v>0</v>
      </c>
    </row>
    <row r="73" spans="1:7">
      <c r="A73" s="10" t="s">
        <v>12</v>
      </c>
      <c r="B73" s="10" t="s">
        <v>315</v>
      </c>
      <c r="C73" s="54">
        <f>C7*13.5*19*36*1.03</f>
        <v>28533.06</v>
      </c>
      <c r="D73" s="54">
        <f>D7*13.5*19*36*1.03</f>
        <v>19022.04</v>
      </c>
      <c r="E73" s="54">
        <f>E7*13.5*19*36*1.03</f>
        <v>19022.04</v>
      </c>
      <c r="G73" s="67">
        <f t="shared" si="3"/>
        <v>47555.100000000006</v>
      </c>
    </row>
    <row r="74" spans="1:7">
      <c r="A74" s="10" t="s">
        <v>13</v>
      </c>
      <c r="B74" s="10" t="s">
        <v>316</v>
      </c>
      <c r="C74" s="39"/>
      <c r="D74" s="39"/>
      <c r="E74" s="39"/>
      <c r="G74" s="67">
        <f t="shared" si="3"/>
        <v>0</v>
      </c>
    </row>
    <row r="75" spans="1:7">
      <c r="A75" s="10" t="s">
        <v>14</v>
      </c>
      <c r="B75" s="10" t="s">
        <v>317</v>
      </c>
      <c r="C75" s="39"/>
      <c r="D75" s="39"/>
      <c r="E75" s="39"/>
      <c r="G75" s="67">
        <f t="shared" si="3"/>
        <v>0</v>
      </c>
    </row>
    <row r="76" spans="1:7">
      <c r="A76" s="10" t="s">
        <v>15</v>
      </c>
      <c r="B76" s="10" t="s">
        <v>318</v>
      </c>
      <c r="C76" s="39"/>
      <c r="D76" s="39"/>
      <c r="E76" s="39"/>
      <c r="G76" s="67">
        <f t="shared" si="3"/>
        <v>0</v>
      </c>
    </row>
    <row r="77" spans="1:7">
      <c r="A77" s="10" t="s">
        <v>16</v>
      </c>
      <c r="B77" s="10" t="s">
        <v>319</v>
      </c>
      <c r="C77" s="39"/>
      <c r="D77" s="39"/>
      <c r="E77" s="39"/>
      <c r="G77" s="67">
        <f t="shared" si="3"/>
        <v>0</v>
      </c>
    </row>
    <row r="78" spans="1:7">
      <c r="A78" s="10" t="s">
        <v>17</v>
      </c>
      <c r="B78" s="10" t="s">
        <v>320</v>
      </c>
      <c r="C78" s="39"/>
      <c r="D78" s="39"/>
      <c r="E78" s="39"/>
      <c r="G78" s="67">
        <f t="shared" si="3"/>
        <v>0</v>
      </c>
    </row>
    <row r="79" spans="1:7" ht="14.25" customHeight="1">
      <c r="A79" s="10" t="s">
        <v>18</v>
      </c>
      <c r="B79" s="10" t="s">
        <v>322</v>
      </c>
      <c r="C79" s="40"/>
      <c r="D79" s="40"/>
      <c r="E79" s="40"/>
      <c r="G79" s="66">
        <f t="shared" si="3"/>
        <v>0</v>
      </c>
    </row>
    <row r="80" spans="1:7">
      <c r="B80" s="10" t="s">
        <v>24</v>
      </c>
      <c r="C80" s="39">
        <f>SUM(C72:C79)</f>
        <v>28533.06</v>
      </c>
      <c r="D80" s="39">
        <f>SUM(D72:D79)</f>
        <v>19022.04</v>
      </c>
      <c r="E80" s="39">
        <f>SUM(E72:E79)</f>
        <v>19022.04</v>
      </c>
      <c r="G80" s="57">
        <f>SUM(G72:G79)</f>
        <v>47555.100000000006</v>
      </c>
    </row>
    <row r="81" spans="1:7">
      <c r="C81" s="39"/>
      <c r="D81" s="39"/>
      <c r="E81" s="39"/>
      <c r="G81" s="57"/>
    </row>
    <row r="82" spans="1:7">
      <c r="C82" s="39"/>
      <c r="D82" s="39"/>
      <c r="E82" s="39"/>
      <c r="G82" s="57"/>
    </row>
    <row r="83" spans="1:7">
      <c r="A83" s="10" t="s">
        <v>325</v>
      </c>
      <c r="C83" s="39"/>
      <c r="D83" s="39"/>
      <c r="E83" s="39"/>
      <c r="G83" s="57"/>
    </row>
    <row r="84" spans="1:7">
      <c r="A84" s="10" t="s">
        <v>20</v>
      </c>
      <c r="B84" s="10" t="s">
        <v>324</v>
      </c>
      <c r="C84" s="39"/>
      <c r="D84" s="39"/>
      <c r="E84" s="39"/>
      <c r="G84" s="67">
        <f>SUM(C84:D84)</f>
        <v>0</v>
      </c>
    </row>
    <row r="85" spans="1:7">
      <c r="A85" s="10" t="s">
        <v>21</v>
      </c>
      <c r="B85" s="10" t="s">
        <v>325</v>
      </c>
      <c r="C85" s="39"/>
      <c r="D85" s="39"/>
      <c r="E85" s="39"/>
      <c r="G85" s="67">
        <f>SUM(C85:D85)</f>
        <v>0</v>
      </c>
    </row>
    <row r="86" spans="1:7">
      <c r="A86" s="10" t="s">
        <v>440</v>
      </c>
      <c r="B86" s="10" t="s">
        <v>441</v>
      </c>
      <c r="C86" s="39"/>
      <c r="D86" s="39"/>
      <c r="E86" s="39"/>
      <c r="G86" s="67">
        <f>SUM(C86:D86)</f>
        <v>0</v>
      </c>
    </row>
    <row r="87" spans="1:7">
      <c r="A87" s="10" t="s">
        <v>22</v>
      </c>
      <c r="B87" s="10" t="s">
        <v>23</v>
      </c>
      <c r="C87" s="40"/>
      <c r="D87" s="40"/>
      <c r="E87" s="40"/>
      <c r="G87" s="66">
        <f>SUM(C87:D87)</f>
        <v>0</v>
      </c>
    </row>
    <row r="88" spans="1:7">
      <c r="B88" s="10" t="s">
        <v>326</v>
      </c>
      <c r="C88" s="39">
        <f>SUM(C84:C87)</f>
        <v>0</v>
      </c>
      <c r="D88" s="39">
        <f>SUM(D84:D87)</f>
        <v>0</v>
      </c>
      <c r="E88" s="39">
        <f>SUM(E84:E87)</f>
        <v>0</v>
      </c>
      <c r="G88" s="57">
        <f>SUM(G84:G87)</f>
        <v>0</v>
      </c>
    </row>
    <row r="89" spans="1:7">
      <c r="C89" s="39"/>
      <c r="D89" s="39"/>
      <c r="E89" s="39"/>
      <c r="G89" s="57"/>
    </row>
    <row r="90" spans="1:7">
      <c r="B90" s="10" t="s">
        <v>327</v>
      </c>
      <c r="C90" s="39">
        <f>SUM(C80+C88)</f>
        <v>28533.06</v>
      </c>
      <c r="D90" s="39">
        <f>SUM(D80+D88)</f>
        <v>19022.04</v>
      </c>
      <c r="E90" s="39">
        <f>SUM(E80+E88)</f>
        <v>19022.04</v>
      </c>
      <c r="G90" s="41">
        <f>+G80+G88</f>
        <v>47555.100000000006</v>
      </c>
    </row>
    <row r="91" spans="1:7">
      <c r="C91" s="39"/>
      <c r="D91" s="39"/>
      <c r="E91" s="39"/>
      <c r="G91" s="57"/>
    </row>
    <row r="92" spans="1:7">
      <c r="A92" s="10" t="s">
        <v>328</v>
      </c>
      <c r="C92" s="39"/>
      <c r="D92" s="39"/>
      <c r="E92" s="39"/>
      <c r="G92" s="57"/>
    </row>
    <row r="93" spans="1:7">
      <c r="A93" s="10" t="s">
        <v>25</v>
      </c>
      <c r="B93" s="10" t="s">
        <v>33</v>
      </c>
      <c r="C93" s="39"/>
      <c r="D93" s="39"/>
      <c r="E93" s="39"/>
      <c r="G93" s="67">
        <f t="shared" ref="G93:G101" si="4">SUM(C93:D93)</f>
        <v>0</v>
      </c>
    </row>
    <row r="94" spans="1:7">
      <c r="A94" s="10" t="s">
        <v>26</v>
      </c>
      <c r="B94" s="10" t="s">
        <v>34</v>
      </c>
      <c r="C94" s="39"/>
      <c r="D94" s="39"/>
      <c r="E94" s="39"/>
      <c r="G94" s="67">
        <f t="shared" si="4"/>
        <v>0</v>
      </c>
    </row>
    <row r="95" spans="1:7">
      <c r="A95" s="10" t="s">
        <v>28</v>
      </c>
      <c r="B95" s="10" t="s">
        <v>27</v>
      </c>
      <c r="C95" s="39">
        <f>(+C$88-C$84+C$80)*0.062</f>
        <v>1769.04972</v>
      </c>
      <c r="D95" s="39">
        <f>(+D$88-D$84+D$80)*0.062</f>
        <v>1179.3664800000001</v>
      </c>
      <c r="E95" s="39">
        <f>(+E$88-E$84+E$80)*0.062</f>
        <v>1179.3664800000001</v>
      </c>
      <c r="G95" s="67">
        <f t="shared" si="4"/>
        <v>2948.4162000000001</v>
      </c>
    </row>
    <row r="96" spans="1:7">
      <c r="A96" s="10" t="s">
        <v>30</v>
      </c>
      <c r="B96" s="10" t="s">
        <v>29</v>
      </c>
      <c r="C96" s="39">
        <f>(+C$88-C$84+C$80)*0.0145</f>
        <v>413.72937000000002</v>
      </c>
      <c r="D96" s="39">
        <f>(+D$88-D$84+D$80)*0.0145</f>
        <v>275.81958000000003</v>
      </c>
      <c r="E96" s="39">
        <f>(+E$88-E$84+E$80)*0.0145</f>
        <v>275.81958000000003</v>
      </c>
      <c r="G96" s="67">
        <f t="shared" si="4"/>
        <v>689.5489500000001</v>
      </c>
    </row>
    <row r="97" spans="1:7">
      <c r="A97" s="10" t="s">
        <v>31</v>
      </c>
      <c r="B97" s="10" t="s">
        <v>32</v>
      </c>
      <c r="C97" s="39">
        <f>(+C$88-C$84+C$80)*0.06*0.5</f>
        <v>855.99180000000001</v>
      </c>
      <c r="D97" s="39">
        <f>(+D$88-D$84+D$80)*0.06*0.5</f>
        <v>570.66120000000001</v>
      </c>
      <c r="E97" s="39">
        <f>(+E$88-E$84+E$80)*0.06*0.5</f>
        <v>570.66120000000001</v>
      </c>
      <c r="G97" s="67">
        <f t="shared" si="4"/>
        <v>1426.653</v>
      </c>
    </row>
    <row r="98" spans="1:7">
      <c r="A98" s="10" t="s">
        <v>36</v>
      </c>
      <c r="B98" s="10" t="s">
        <v>35</v>
      </c>
      <c r="C98" s="39">
        <f>(+C$88-C$84+C$80)*0.0056</f>
        <v>159.78513599999999</v>
      </c>
      <c r="D98" s="39">
        <f>(+D$88-D$84+D$80)*0.0056</f>
        <v>106.52342400000001</v>
      </c>
      <c r="E98" s="39">
        <f>(+E$88-E$84+E$80)*0.0056</f>
        <v>106.52342400000001</v>
      </c>
      <c r="G98" s="67">
        <f t="shared" si="4"/>
        <v>266.30856</v>
      </c>
    </row>
    <row r="99" spans="1:7">
      <c r="A99" s="10" t="s">
        <v>38</v>
      </c>
      <c r="B99" s="10" t="s">
        <v>37</v>
      </c>
      <c r="C99" s="39">
        <f>+C$7*7700*0.0201</f>
        <v>464.31</v>
      </c>
      <c r="D99" s="39">
        <f>+D$7*7700*0.0201</f>
        <v>309.54000000000002</v>
      </c>
      <c r="E99" s="39">
        <f>+E$7*7700*0.0201</f>
        <v>309.54000000000002</v>
      </c>
      <c r="G99" s="67">
        <f t="shared" si="4"/>
        <v>773.85</v>
      </c>
    </row>
    <row r="100" spans="1:7">
      <c r="A100" s="10" t="s">
        <v>83</v>
      </c>
      <c r="B100" s="10" t="s">
        <v>84</v>
      </c>
      <c r="C100" s="39"/>
      <c r="D100" s="39"/>
      <c r="E100" s="39"/>
      <c r="G100" s="67">
        <f t="shared" si="4"/>
        <v>0</v>
      </c>
    </row>
    <row r="101" spans="1:7">
      <c r="A101" s="10" t="s">
        <v>39</v>
      </c>
      <c r="B101" s="10" t="s">
        <v>40</v>
      </c>
      <c r="C101" s="40">
        <f>(+C$88-C$84+C$80)*(0.0024+0.0036+0.0013)</f>
        <v>208.29133800000002</v>
      </c>
      <c r="D101" s="40">
        <f>(+D$88-D$84+D$80)*(0.0024+0.0036+0.0013)</f>
        <v>138.86089200000001</v>
      </c>
      <c r="E101" s="40">
        <f>(+E$88-E$84+E$80)*(0.0024+0.0036+0.0013)</f>
        <v>138.86089200000001</v>
      </c>
      <c r="G101" s="66">
        <f t="shared" si="4"/>
        <v>347.15223000000003</v>
      </c>
    </row>
    <row r="102" spans="1:7">
      <c r="B102" s="10" t="s">
        <v>235</v>
      </c>
      <c r="C102" s="39">
        <f>SUM(C93:C101)</f>
        <v>3871.1573639999997</v>
      </c>
      <c r="D102" s="39">
        <f>SUM(D93:D101)</f>
        <v>2580.7715760000006</v>
      </c>
      <c r="E102" s="39">
        <f>SUM(E93:E101)</f>
        <v>2580.7715760000006</v>
      </c>
      <c r="G102" s="57">
        <f>SUM(G93:G101)</f>
        <v>6451.9289400000007</v>
      </c>
    </row>
    <row r="103" spans="1:7">
      <c r="C103" s="39"/>
      <c r="D103" s="39"/>
      <c r="E103" s="39"/>
      <c r="G103" s="57"/>
    </row>
    <row r="104" spans="1:7" s="4" customFormat="1" ht="10.5">
      <c r="A104" s="14"/>
      <c r="B104" s="14" t="s">
        <v>236</v>
      </c>
      <c r="C104" s="41">
        <f>SUM(C90+C102)</f>
        <v>32404.217364</v>
      </c>
      <c r="D104" s="41">
        <f>SUM(D90+D102)</f>
        <v>21602.811576</v>
      </c>
      <c r="E104" s="41">
        <f>SUM(E90+E102)</f>
        <v>21602.811576</v>
      </c>
      <c r="G104" s="41">
        <f>+G90+G102</f>
        <v>54007.028940000004</v>
      </c>
    </row>
    <row r="105" spans="1:7">
      <c r="C105" s="39"/>
      <c r="D105" s="39"/>
      <c r="E105" s="39"/>
      <c r="G105" s="57"/>
    </row>
    <row r="106" spans="1:7">
      <c r="A106" s="10" t="s">
        <v>237</v>
      </c>
      <c r="C106" s="39"/>
      <c r="D106" s="39"/>
      <c r="E106" s="39"/>
      <c r="G106" s="57"/>
    </row>
    <row r="107" spans="1:7">
      <c r="A107" s="10" t="s">
        <v>238</v>
      </c>
      <c r="C107" s="39"/>
      <c r="D107" s="39"/>
      <c r="E107" s="39"/>
      <c r="G107" s="57"/>
    </row>
    <row r="108" spans="1:7">
      <c r="A108" s="10" t="s">
        <v>51</v>
      </c>
      <c r="B108" s="10" t="s">
        <v>50</v>
      </c>
      <c r="C108" s="39"/>
      <c r="D108" s="39"/>
      <c r="E108" s="39"/>
      <c r="G108" s="67">
        <f t="shared" ref="G108:G121" si="5">SUM(C108:D108)</f>
        <v>0</v>
      </c>
    </row>
    <row r="109" spans="1:7">
      <c r="A109" s="10" t="s">
        <v>41</v>
      </c>
      <c r="B109" s="10" t="s">
        <v>42</v>
      </c>
      <c r="C109" s="39"/>
      <c r="D109" s="39"/>
      <c r="E109" s="39"/>
      <c r="G109" s="67">
        <f t="shared" si="5"/>
        <v>0</v>
      </c>
    </row>
    <row r="110" spans="1:7">
      <c r="A110" s="10" t="s">
        <v>43</v>
      </c>
      <c r="B110" s="10" t="s">
        <v>239</v>
      </c>
      <c r="C110" s="39"/>
      <c r="D110" s="39"/>
      <c r="E110" s="39"/>
      <c r="G110" s="67">
        <f t="shared" si="5"/>
        <v>0</v>
      </c>
    </row>
    <row r="111" spans="1:7">
      <c r="A111" s="10" t="s">
        <v>44</v>
      </c>
      <c r="B111" s="10" t="s">
        <v>45</v>
      </c>
      <c r="C111" s="39"/>
      <c r="D111" s="39"/>
      <c r="E111" s="39"/>
      <c r="G111" s="67">
        <f t="shared" si="5"/>
        <v>0</v>
      </c>
    </row>
    <row r="112" spans="1:7">
      <c r="A112" s="10" t="s">
        <v>46</v>
      </c>
      <c r="B112" s="10" t="s">
        <v>240</v>
      </c>
      <c r="C112" s="39"/>
      <c r="D112" s="39"/>
      <c r="E112" s="39"/>
      <c r="G112" s="67">
        <f t="shared" si="5"/>
        <v>0</v>
      </c>
    </row>
    <row r="113" spans="1:7">
      <c r="A113" s="10" t="s">
        <v>47</v>
      </c>
      <c r="B113" s="10" t="s">
        <v>241</v>
      </c>
      <c r="C113" s="39"/>
      <c r="D113" s="39"/>
      <c r="E113" s="39"/>
      <c r="G113" s="67">
        <f t="shared" si="5"/>
        <v>0</v>
      </c>
    </row>
    <row r="114" spans="1:7">
      <c r="A114" s="10" t="s">
        <v>48</v>
      </c>
      <c r="B114" s="10" t="s">
        <v>49</v>
      </c>
      <c r="C114" s="39"/>
      <c r="D114" s="39"/>
      <c r="E114" s="39"/>
      <c r="G114" s="67">
        <f t="shared" si="5"/>
        <v>0</v>
      </c>
    </row>
    <row r="115" spans="1:7">
      <c r="A115" s="10" t="s">
        <v>82</v>
      </c>
      <c r="B115" s="10" t="s">
        <v>166</v>
      </c>
      <c r="C115" s="39"/>
      <c r="D115" s="39"/>
      <c r="E115" s="39"/>
      <c r="G115" s="67">
        <f t="shared" si="5"/>
        <v>0</v>
      </c>
    </row>
    <row r="116" spans="1:7">
      <c r="A116" s="10" t="s">
        <v>104</v>
      </c>
      <c r="B116" s="10" t="s">
        <v>103</v>
      </c>
      <c r="C116" s="39"/>
      <c r="D116" s="39"/>
      <c r="E116" s="39"/>
      <c r="G116" s="67">
        <f t="shared" si="5"/>
        <v>0</v>
      </c>
    </row>
    <row r="117" spans="1:7">
      <c r="A117" s="10" t="s">
        <v>59</v>
      </c>
      <c r="B117" s="10" t="s">
        <v>321</v>
      </c>
      <c r="C117" s="39"/>
      <c r="D117" s="39"/>
      <c r="E117" s="39"/>
      <c r="G117" s="67">
        <f t="shared" si="5"/>
        <v>0</v>
      </c>
    </row>
    <row r="118" spans="1:7">
      <c r="A118" s="10" t="s">
        <v>87</v>
      </c>
      <c r="B118" s="10" t="s">
        <v>88</v>
      </c>
      <c r="C118" s="39"/>
      <c r="D118" s="39"/>
      <c r="E118" s="39"/>
      <c r="G118" s="67">
        <f t="shared" si="5"/>
        <v>0</v>
      </c>
    </row>
    <row r="119" spans="1:7">
      <c r="A119" s="10" t="s">
        <v>89</v>
      </c>
      <c r="B119" s="10" t="s">
        <v>90</v>
      </c>
      <c r="C119" s="39"/>
      <c r="D119" s="39"/>
      <c r="E119" s="39"/>
      <c r="G119" s="67">
        <f t="shared" si="5"/>
        <v>0</v>
      </c>
    </row>
    <row r="120" spans="1:7">
      <c r="A120" s="10" t="s">
        <v>450</v>
      </c>
      <c r="B120" s="10" t="s">
        <v>451</v>
      </c>
      <c r="C120" s="39"/>
      <c r="D120" s="39"/>
      <c r="E120" s="39"/>
      <c r="G120" s="67">
        <f t="shared" si="5"/>
        <v>0</v>
      </c>
    </row>
    <row r="121" spans="1:7">
      <c r="A121" s="10" t="s">
        <v>52</v>
      </c>
      <c r="B121" s="10" t="s">
        <v>53</v>
      </c>
      <c r="C121" s="40">
        <f>1500*9</f>
        <v>13500</v>
      </c>
      <c r="D121" s="97">
        <v>4500</v>
      </c>
      <c r="E121" s="97">
        <v>5500</v>
      </c>
      <c r="G121" s="66">
        <f t="shared" si="5"/>
        <v>18000</v>
      </c>
    </row>
    <row r="122" spans="1:7">
      <c r="B122" s="10" t="s">
        <v>242</v>
      </c>
      <c r="C122" s="39">
        <f>SUM(C108:C121)</f>
        <v>13500</v>
      </c>
      <c r="D122" s="39">
        <f>SUM(D108:D121)</f>
        <v>4500</v>
      </c>
      <c r="E122" s="39">
        <f>SUM(E108:E121)</f>
        <v>5500</v>
      </c>
      <c r="G122" s="57">
        <f>SUM(G108:G121)</f>
        <v>18000</v>
      </c>
    </row>
    <row r="123" spans="1:7">
      <c r="C123" s="39"/>
      <c r="D123" s="39"/>
      <c r="E123" s="39"/>
      <c r="G123" s="57"/>
    </row>
    <row r="124" spans="1:7">
      <c r="A124" s="10" t="s">
        <v>243</v>
      </c>
      <c r="C124" s="39"/>
      <c r="D124" s="39"/>
      <c r="E124" s="39"/>
      <c r="G124" s="57"/>
    </row>
    <row r="125" spans="1:7">
      <c r="A125" s="10" t="s">
        <v>56</v>
      </c>
      <c r="B125" s="10" t="s">
        <v>246</v>
      </c>
      <c r="C125" s="39"/>
      <c r="D125" s="39"/>
      <c r="E125" s="39"/>
      <c r="G125" s="67">
        <f t="shared" ref="G125:G132" si="6">SUM(C125:D125)</f>
        <v>0</v>
      </c>
    </row>
    <row r="126" spans="1:7">
      <c r="A126" s="10" t="s">
        <v>57</v>
      </c>
      <c r="B126" s="10" t="s">
        <v>247</v>
      </c>
      <c r="C126" s="39"/>
      <c r="D126" s="39"/>
      <c r="E126" s="39"/>
      <c r="G126" s="67">
        <f t="shared" si="6"/>
        <v>0</v>
      </c>
    </row>
    <row r="127" spans="1:7">
      <c r="A127" s="10" t="s">
        <v>58</v>
      </c>
      <c r="B127" s="10" t="s">
        <v>248</v>
      </c>
      <c r="C127" s="39"/>
      <c r="D127" s="39"/>
      <c r="E127" s="39"/>
      <c r="G127" s="67">
        <f t="shared" si="6"/>
        <v>0</v>
      </c>
    </row>
    <row r="128" spans="1:7">
      <c r="A128" s="10" t="s">
        <v>55</v>
      </c>
      <c r="B128" s="10" t="s">
        <v>245</v>
      </c>
      <c r="C128" s="39"/>
      <c r="D128" s="39"/>
      <c r="E128" s="39"/>
      <c r="G128" s="67">
        <f t="shared" si="6"/>
        <v>0</v>
      </c>
    </row>
    <row r="129" spans="1:7" ht="10.5" customHeight="1">
      <c r="A129" s="10" t="s">
        <v>54</v>
      </c>
      <c r="B129" s="10" t="s">
        <v>244</v>
      </c>
      <c r="C129" s="39"/>
      <c r="D129" s="39"/>
      <c r="E129" s="39"/>
      <c r="G129" s="67">
        <f t="shared" si="6"/>
        <v>0</v>
      </c>
    </row>
    <row r="130" spans="1:7">
      <c r="A130" s="10" t="s">
        <v>60</v>
      </c>
      <c r="B130" s="10" t="s">
        <v>61</v>
      </c>
      <c r="C130" s="39"/>
      <c r="D130" s="39"/>
      <c r="E130" s="39"/>
      <c r="G130" s="67">
        <f t="shared" si="6"/>
        <v>0</v>
      </c>
    </row>
    <row r="131" spans="1:7">
      <c r="A131" s="10" t="s">
        <v>448</v>
      </c>
      <c r="B131" s="10" t="s">
        <v>449</v>
      </c>
      <c r="C131" s="39"/>
      <c r="D131" s="39"/>
      <c r="E131" s="39"/>
      <c r="G131" s="67">
        <f t="shared" si="6"/>
        <v>0</v>
      </c>
    </row>
    <row r="132" spans="1:7">
      <c r="A132" s="10" t="s">
        <v>62</v>
      </c>
      <c r="B132" s="10" t="s">
        <v>249</v>
      </c>
      <c r="C132" s="40"/>
      <c r="D132" s="40"/>
      <c r="E132" s="40"/>
      <c r="G132" s="66">
        <f t="shared" si="6"/>
        <v>0</v>
      </c>
    </row>
    <row r="133" spans="1:7">
      <c r="B133" s="10" t="s">
        <v>250</v>
      </c>
      <c r="C133" s="39">
        <f>SUM(C125:C132)</f>
        <v>0</v>
      </c>
      <c r="D133" s="39">
        <f>SUM(D125:D132)</f>
        <v>0</v>
      </c>
      <c r="E133" s="39">
        <f>SUM(E125:E132)</f>
        <v>0</v>
      </c>
      <c r="G133" s="57">
        <f>SUM(G125:G132)</f>
        <v>0</v>
      </c>
    </row>
    <row r="134" spans="1:7">
      <c r="C134" s="39"/>
      <c r="D134" s="39"/>
      <c r="E134" s="39"/>
      <c r="G134" s="57"/>
    </row>
    <row r="135" spans="1:7">
      <c r="A135" s="10" t="s">
        <v>251</v>
      </c>
      <c r="C135" s="39"/>
      <c r="D135" s="39"/>
      <c r="E135" s="39"/>
      <c r="G135" s="57"/>
    </row>
    <row r="136" spans="1:7">
      <c r="A136" s="10" t="s">
        <v>252</v>
      </c>
      <c r="C136" s="39"/>
      <c r="D136" s="39"/>
      <c r="E136" s="39"/>
      <c r="G136" s="57"/>
    </row>
    <row r="137" spans="1:7">
      <c r="A137" s="10" t="s">
        <v>63</v>
      </c>
      <c r="B137" s="10" t="s">
        <v>253</v>
      </c>
      <c r="C137" s="39"/>
      <c r="D137" s="39"/>
      <c r="E137" s="39"/>
      <c r="G137" s="67">
        <f>SUM(C137:D137)</f>
        <v>0</v>
      </c>
    </row>
    <row r="138" spans="1:7">
      <c r="A138" s="10" t="s">
        <v>64</v>
      </c>
      <c r="B138" s="10" t="s">
        <v>254</v>
      </c>
      <c r="C138" s="39"/>
      <c r="D138" s="39"/>
      <c r="E138" s="39"/>
      <c r="G138" s="67">
        <f>SUM(C138:D138)</f>
        <v>0</v>
      </c>
    </row>
    <row r="139" spans="1:7">
      <c r="A139" s="10" t="s">
        <v>454</v>
      </c>
      <c r="B139" s="10" t="s">
        <v>455</v>
      </c>
      <c r="C139" s="39"/>
      <c r="D139" s="39"/>
      <c r="E139" s="39"/>
      <c r="G139" s="67">
        <f>SUM(C139:D139)</f>
        <v>0</v>
      </c>
    </row>
    <row r="140" spans="1:7">
      <c r="A140" s="10" t="s">
        <v>65</v>
      </c>
      <c r="B140" s="10" t="s">
        <v>255</v>
      </c>
      <c r="C140" s="40"/>
      <c r="D140" s="40"/>
      <c r="E140" s="40"/>
      <c r="G140" s="66">
        <f>SUM(C140:D140)</f>
        <v>0</v>
      </c>
    </row>
    <row r="141" spans="1:7">
      <c r="B141" s="10" t="s">
        <v>256</v>
      </c>
      <c r="C141" s="39">
        <f>SUM(C137:C140)</f>
        <v>0</v>
      </c>
      <c r="D141" s="39">
        <f>SUM(D137:D140)</f>
        <v>0</v>
      </c>
      <c r="E141" s="39">
        <f>SUM(E137:E140)</f>
        <v>0</v>
      </c>
      <c r="G141" s="57">
        <f>SUM(G137:G140)</f>
        <v>0</v>
      </c>
    </row>
    <row r="142" spans="1:7">
      <c r="C142" s="39"/>
      <c r="D142" s="39"/>
      <c r="E142" s="39"/>
      <c r="G142" s="57"/>
    </row>
    <row r="143" spans="1:7">
      <c r="A143" s="10" t="s">
        <v>257</v>
      </c>
      <c r="C143" s="39"/>
      <c r="D143" s="39"/>
      <c r="E143" s="39"/>
      <c r="G143" s="57"/>
    </row>
    <row r="144" spans="1:7">
      <c r="A144" s="10" t="s">
        <v>66</v>
      </c>
      <c r="B144" s="10" t="s">
        <v>258</v>
      </c>
      <c r="C144" s="39"/>
      <c r="D144" s="39"/>
      <c r="E144" s="39"/>
      <c r="G144" s="67">
        <f t="shared" ref="G144:G149" si="7">SUM(C144:D144)</f>
        <v>0</v>
      </c>
    </row>
    <row r="145" spans="1:7">
      <c r="A145" s="10" t="s">
        <v>67</v>
      </c>
      <c r="B145" s="10" t="s">
        <v>259</v>
      </c>
      <c r="C145" s="39"/>
      <c r="D145" s="39"/>
      <c r="E145" s="39"/>
      <c r="G145" s="67">
        <f t="shared" si="7"/>
        <v>0</v>
      </c>
    </row>
    <row r="146" spans="1:7">
      <c r="A146" s="10" t="s">
        <v>68</v>
      </c>
      <c r="B146" s="10" t="s">
        <v>260</v>
      </c>
      <c r="C146" s="39"/>
      <c r="D146" s="39"/>
      <c r="E146" s="39"/>
      <c r="G146" s="67">
        <f t="shared" si="7"/>
        <v>0</v>
      </c>
    </row>
    <row r="147" spans="1:7">
      <c r="A147" s="10" t="s">
        <v>69</v>
      </c>
      <c r="B147" s="10" t="s">
        <v>261</v>
      </c>
      <c r="C147" s="39"/>
      <c r="D147" s="39"/>
      <c r="E147" s="39"/>
      <c r="G147" s="67">
        <f t="shared" si="7"/>
        <v>0</v>
      </c>
    </row>
    <row r="148" spans="1:7" ht="12" customHeight="1">
      <c r="A148" s="10" t="s">
        <v>70</v>
      </c>
      <c r="B148" s="10" t="s">
        <v>262</v>
      </c>
      <c r="C148" s="39"/>
      <c r="D148" s="39"/>
      <c r="E148" s="39"/>
      <c r="G148" s="67">
        <f t="shared" si="7"/>
        <v>0</v>
      </c>
    </row>
    <row r="149" spans="1:7">
      <c r="A149" s="10" t="s">
        <v>462</v>
      </c>
      <c r="B149" s="10" t="s">
        <v>464</v>
      </c>
      <c r="C149" s="40"/>
      <c r="D149" s="40"/>
      <c r="E149" s="40"/>
      <c r="G149" s="66">
        <f t="shared" si="7"/>
        <v>0</v>
      </c>
    </row>
    <row r="150" spans="1:7">
      <c r="B150" s="10" t="s">
        <v>263</v>
      </c>
      <c r="C150" s="39">
        <f>SUM(C144:C149)</f>
        <v>0</v>
      </c>
      <c r="D150" s="39">
        <f>SUM(D144:D149)</f>
        <v>0</v>
      </c>
      <c r="E150" s="39">
        <f>SUM(E144:E149)</f>
        <v>0</v>
      </c>
      <c r="G150" s="57">
        <f>SUM(G144:G149)</f>
        <v>0</v>
      </c>
    </row>
    <row r="151" spans="1:7">
      <c r="C151" s="39"/>
      <c r="D151" s="39"/>
      <c r="E151" s="39"/>
      <c r="G151" s="57"/>
    </row>
    <row r="152" spans="1:7">
      <c r="A152" s="10" t="s">
        <v>264</v>
      </c>
      <c r="C152" s="39"/>
      <c r="D152" s="39"/>
      <c r="E152" s="39"/>
      <c r="G152" s="57"/>
    </row>
    <row r="153" spans="1:7">
      <c r="A153" s="10" t="s">
        <v>265</v>
      </c>
      <c r="C153" s="39"/>
      <c r="D153" s="39"/>
      <c r="E153" s="39"/>
      <c r="G153" s="57"/>
    </row>
    <row r="154" spans="1:7">
      <c r="A154" s="10" t="s">
        <v>71</v>
      </c>
      <c r="B154" s="10" t="s">
        <v>72</v>
      </c>
      <c r="C154" s="40"/>
      <c r="D154" s="40"/>
      <c r="E154" s="40"/>
      <c r="G154" s="66">
        <f>SUM(C154:D154)</f>
        <v>0</v>
      </c>
    </row>
    <row r="155" spans="1:7">
      <c r="B155" s="10" t="s">
        <v>266</v>
      </c>
      <c r="C155" s="39">
        <f>SUM(C154)</f>
        <v>0</v>
      </c>
      <c r="D155" s="39">
        <f>SUM(D154)</f>
        <v>0</v>
      </c>
      <c r="E155" s="39">
        <f>SUM(E154)</f>
        <v>0</v>
      </c>
      <c r="G155" s="57">
        <f>SUM(G154)</f>
        <v>0</v>
      </c>
    </row>
    <row r="156" spans="1:7">
      <c r="C156" s="39"/>
      <c r="D156" s="39"/>
      <c r="E156" s="39"/>
      <c r="G156" s="57"/>
    </row>
    <row r="157" spans="1:7">
      <c r="A157" s="10" t="s">
        <v>267</v>
      </c>
      <c r="C157" s="39"/>
      <c r="D157" s="39"/>
      <c r="E157" s="39"/>
      <c r="G157" s="57"/>
    </row>
    <row r="158" spans="1:7">
      <c r="A158" s="10" t="s">
        <v>73</v>
      </c>
      <c r="B158" s="10" t="s">
        <v>74</v>
      </c>
      <c r="C158" s="39">
        <v>2300</v>
      </c>
      <c r="D158" s="54">
        <f>40*D8</f>
        <v>1000</v>
      </c>
      <c r="E158" s="54">
        <f>40*E8</f>
        <v>1000</v>
      </c>
      <c r="G158" s="67">
        <f t="shared" ref="G158:G170" si="8">SUM(C158:D158)</f>
        <v>3300</v>
      </c>
    </row>
    <row r="159" spans="1:7">
      <c r="A159" s="10" t="s">
        <v>75</v>
      </c>
      <c r="B159" s="10" t="s">
        <v>154</v>
      </c>
      <c r="C159" s="39"/>
      <c r="D159" s="54"/>
      <c r="E159" s="54"/>
      <c r="G159" s="67">
        <f t="shared" si="8"/>
        <v>0</v>
      </c>
    </row>
    <row r="160" spans="1:7">
      <c r="A160" s="10" t="s">
        <v>456</v>
      </c>
      <c r="B160" s="10" t="s">
        <v>97</v>
      </c>
      <c r="C160" s="39"/>
      <c r="D160" s="54"/>
      <c r="E160" s="54"/>
      <c r="G160" s="67">
        <f t="shared" si="8"/>
        <v>0</v>
      </c>
    </row>
    <row r="161" spans="1:7">
      <c r="A161" s="10" t="s">
        <v>457</v>
      </c>
      <c r="B161" s="10" t="s">
        <v>458</v>
      </c>
      <c r="C161" s="39"/>
      <c r="D161" s="54"/>
      <c r="E161" s="54"/>
      <c r="G161" s="67">
        <f t="shared" si="8"/>
        <v>0</v>
      </c>
    </row>
    <row r="162" spans="1:7">
      <c r="A162" s="10" t="s">
        <v>459</v>
      </c>
      <c r="B162" s="10" t="s">
        <v>460</v>
      </c>
      <c r="C162" s="39"/>
      <c r="D162" s="54"/>
      <c r="E162" s="54"/>
      <c r="G162" s="67">
        <f t="shared" si="8"/>
        <v>0</v>
      </c>
    </row>
    <row r="163" spans="1:7">
      <c r="A163" s="10" t="s">
        <v>452</v>
      </c>
      <c r="B163" s="10" t="s">
        <v>453</v>
      </c>
      <c r="C163" s="39"/>
      <c r="D163" s="54"/>
      <c r="E163" s="54"/>
      <c r="G163" s="67">
        <f t="shared" si="8"/>
        <v>0</v>
      </c>
    </row>
    <row r="164" spans="1:7">
      <c r="A164" s="10" t="s">
        <v>76</v>
      </c>
      <c r="B164" s="10" t="s">
        <v>155</v>
      </c>
      <c r="C164" s="39">
        <v>6800</v>
      </c>
      <c r="D164" s="54">
        <f>100*D8</f>
        <v>2500</v>
      </c>
      <c r="E164" s="54">
        <f>100*E8</f>
        <v>2500</v>
      </c>
      <c r="G164" s="67">
        <f t="shared" si="8"/>
        <v>9300</v>
      </c>
    </row>
    <row r="165" spans="1:7">
      <c r="A165" s="10" t="s">
        <v>79</v>
      </c>
      <c r="B165" s="10" t="s">
        <v>156</v>
      </c>
      <c r="C165" s="39"/>
      <c r="D165" s="39"/>
      <c r="E165" s="39"/>
      <c r="G165" s="67">
        <f t="shared" si="8"/>
        <v>0</v>
      </c>
    </row>
    <row r="166" spans="1:7">
      <c r="A166" s="10" t="s">
        <v>78</v>
      </c>
      <c r="B166" s="10" t="s">
        <v>157</v>
      </c>
      <c r="C166" s="39"/>
      <c r="D166" s="39"/>
      <c r="E166" s="39"/>
      <c r="G166" s="67">
        <f t="shared" si="8"/>
        <v>0</v>
      </c>
    </row>
    <row r="167" spans="1:7">
      <c r="A167" s="10" t="s">
        <v>77</v>
      </c>
      <c r="B167" s="10" t="s">
        <v>158</v>
      </c>
      <c r="C167" s="39"/>
      <c r="D167" s="39"/>
      <c r="E167" s="39"/>
      <c r="G167" s="67">
        <f t="shared" si="8"/>
        <v>0</v>
      </c>
    </row>
    <row r="168" spans="1:7">
      <c r="A168" s="10" t="s">
        <v>80</v>
      </c>
      <c r="B168" s="10" t="s">
        <v>159</v>
      </c>
      <c r="C168" s="39"/>
      <c r="D168" s="39"/>
      <c r="E168" s="39"/>
      <c r="G168" s="67">
        <f t="shared" si="8"/>
        <v>0</v>
      </c>
    </row>
    <row r="169" spans="1:7">
      <c r="A169" s="10" t="s">
        <v>81</v>
      </c>
      <c r="B169" s="10" t="s">
        <v>160</v>
      </c>
      <c r="C169" s="39"/>
      <c r="D169" s="39"/>
      <c r="E169" s="39"/>
      <c r="G169" s="67">
        <f t="shared" si="8"/>
        <v>0</v>
      </c>
    </row>
    <row r="170" spans="1:7">
      <c r="A170" s="10" t="s">
        <v>161</v>
      </c>
      <c r="B170" s="10" t="s">
        <v>162</v>
      </c>
      <c r="C170" s="40"/>
      <c r="D170" s="40"/>
      <c r="E170" s="40"/>
      <c r="G170" s="66">
        <f t="shared" si="8"/>
        <v>0</v>
      </c>
    </row>
    <row r="171" spans="1:7">
      <c r="B171" s="10" t="s">
        <v>163</v>
      </c>
      <c r="C171" s="39">
        <f>SUM(C158:C170)</f>
        <v>9100</v>
      </c>
      <c r="D171" s="39">
        <f>SUM(D158:D170)</f>
        <v>3500</v>
      </c>
      <c r="E171" s="39">
        <f>SUM(E158:E170)</f>
        <v>3500</v>
      </c>
      <c r="G171" s="57">
        <f>SUM(G158:G170)</f>
        <v>12600</v>
      </c>
    </row>
    <row r="172" spans="1:7">
      <c r="C172" s="39"/>
      <c r="D172" s="39"/>
      <c r="E172" s="39"/>
      <c r="G172" s="57"/>
    </row>
    <row r="173" spans="1:7">
      <c r="A173" s="10" t="s">
        <v>164</v>
      </c>
      <c r="C173" s="39"/>
      <c r="D173" s="39"/>
      <c r="E173" s="39"/>
      <c r="G173" s="57"/>
    </row>
    <row r="174" spans="1:7">
      <c r="A174" s="10" t="s">
        <v>165</v>
      </c>
      <c r="C174" s="39"/>
      <c r="D174" s="39"/>
      <c r="E174" s="39"/>
      <c r="G174" s="57"/>
    </row>
    <row r="175" spans="1:7">
      <c r="A175" s="10" t="s">
        <v>86</v>
      </c>
      <c r="B175" s="10" t="s">
        <v>85</v>
      </c>
      <c r="C175" s="39"/>
      <c r="D175" s="39"/>
      <c r="E175" s="39"/>
      <c r="G175" s="67">
        <f t="shared" ref="G175:G185" si="9">SUM(C175:D175)</f>
        <v>0</v>
      </c>
    </row>
    <row r="176" spans="1:7">
      <c r="A176" s="10" t="s">
        <v>91</v>
      </c>
      <c r="B176" s="10" t="s">
        <v>92</v>
      </c>
      <c r="C176" s="39"/>
      <c r="D176" s="39"/>
      <c r="E176" s="39"/>
      <c r="G176" s="67">
        <f t="shared" si="9"/>
        <v>0</v>
      </c>
    </row>
    <row r="177" spans="1:7">
      <c r="A177" s="10" t="s">
        <v>93</v>
      </c>
      <c r="B177" s="10" t="s">
        <v>94</v>
      </c>
      <c r="C177" s="39"/>
      <c r="D177" s="39"/>
      <c r="E177" s="39"/>
      <c r="G177" s="67">
        <f t="shared" si="9"/>
        <v>0</v>
      </c>
    </row>
    <row r="178" spans="1:7">
      <c r="A178" s="10" t="s">
        <v>95</v>
      </c>
      <c r="B178" s="10" t="s">
        <v>432</v>
      </c>
      <c r="C178" s="39"/>
      <c r="D178" s="39"/>
      <c r="E178" s="39"/>
      <c r="G178" s="67">
        <f t="shared" si="9"/>
        <v>0</v>
      </c>
    </row>
    <row r="179" spans="1:7">
      <c r="A179" s="10" t="s">
        <v>96</v>
      </c>
      <c r="B179" s="10" t="s">
        <v>431</v>
      </c>
      <c r="C179" s="39"/>
      <c r="D179" s="39"/>
      <c r="E179" s="39"/>
      <c r="G179" s="67">
        <f t="shared" si="9"/>
        <v>0</v>
      </c>
    </row>
    <row r="180" spans="1:7">
      <c r="A180" s="10" t="s">
        <v>98</v>
      </c>
      <c r="B180" s="10" t="s">
        <v>99</v>
      </c>
      <c r="C180" s="39"/>
      <c r="D180" s="39"/>
      <c r="E180" s="39"/>
      <c r="G180" s="67">
        <f t="shared" si="9"/>
        <v>0</v>
      </c>
    </row>
    <row r="181" spans="1:7">
      <c r="A181" s="10" t="s">
        <v>100</v>
      </c>
      <c r="B181" s="10" t="s">
        <v>287</v>
      </c>
      <c r="C181" s="39"/>
      <c r="D181" s="39"/>
      <c r="E181" s="39"/>
      <c r="G181" s="67">
        <f t="shared" si="9"/>
        <v>0</v>
      </c>
    </row>
    <row r="182" spans="1:7">
      <c r="A182" s="10" t="s">
        <v>101</v>
      </c>
      <c r="B182" s="10" t="s">
        <v>102</v>
      </c>
      <c r="C182" s="39"/>
      <c r="D182" s="39"/>
      <c r="E182" s="39"/>
      <c r="G182" s="67">
        <f t="shared" si="9"/>
        <v>0</v>
      </c>
    </row>
    <row r="183" spans="1:7">
      <c r="A183" s="10" t="s">
        <v>105</v>
      </c>
      <c r="B183" s="10" t="s">
        <v>167</v>
      </c>
      <c r="C183" s="39"/>
      <c r="D183" s="39"/>
      <c r="E183" s="39"/>
      <c r="G183" s="67">
        <f t="shared" si="9"/>
        <v>0</v>
      </c>
    </row>
    <row r="184" spans="1:7">
      <c r="A184" s="10" t="s">
        <v>106</v>
      </c>
      <c r="B184" s="10" t="s">
        <v>107</v>
      </c>
      <c r="C184" s="39"/>
      <c r="D184" s="39"/>
      <c r="E184" s="39"/>
      <c r="G184" s="67">
        <f t="shared" si="9"/>
        <v>0</v>
      </c>
    </row>
    <row r="185" spans="1:7">
      <c r="A185" s="10" t="s">
        <v>465</v>
      </c>
      <c r="B185" s="10" t="s">
        <v>466</v>
      </c>
      <c r="C185" s="40"/>
      <c r="D185" s="40"/>
      <c r="E185" s="40"/>
      <c r="G185" s="66">
        <f t="shared" si="9"/>
        <v>0</v>
      </c>
    </row>
    <row r="186" spans="1:7">
      <c r="B186" s="10" t="s">
        <v>168</v>
      </c>
      <c r="C186" s="39">
        <f>SUM(C175:C185)</f>
        <v>0</v>
      </c>
      <c r="D186" s="39">
        <f>SUM(D175:D185)</f>
        <v>0</v>
      </c>
      <c r="E186" s="39">
        <f>SUM(E175:E185)</f>
        <v>0</v>
      </c>
      <c r="G186" s="57">
        <f>SUM(G175:G185)</f>
        <v>0</v>
      </c>
    </row>
    <row r="187" spans="1:7">
      <c r="C187" s="39"/>
      <c r="D187" s="39"/>
      <c r="E187" s="39"/>
      <c r="G187" s="57"/>
    </row>
    <row r="188" spans="1:7" s="4" customFormat="1" ht="10.5">
      <c r="A188" s="14"/>
      <c r="B188" s="14" t="s">
        <v>169</v>
      </c>
      <c r="C188" s="41">
        <f>+C122+C133+C141+C150+C155+C171+C186</f>
        <v>22600</v>
      </c>
      <c r="D188" s="41">
        <f>+D122+D133+D141+D150+D155+D171+D186</f>
        <v>8000</v>
      </c>
      <c r="E188" s="41">
        <f>+E122+E133+E141+E150+E155+E171+E186</f>
        <v>9000</v>
      </c>
      <c r="G188" s="41">
        <f>SUM(G122+G133+G141+G150+G155+G171+G186)</f>
        <v>30600</v>
      </c>
    </row>
    <row r="189" spans="1:7">
      <c r="C189" s="39"/>
      <c r="D189" s="39"/>
      <c r="E189" s="39"/>
      <c r="G189" s="57"/>
    </row>
    <row r="190" spans="1:7">
      <c r="C190" s="39"/>
      <c r="D190" s="39"/>
      <c r="E190" s="39"/>
      <c r="G190" s="41">
        <f>SUM(G104+G188)</f>
        <v>84607.028940000004</v>
      </c>
    </row>
    <row r="191" spans="1:7" s="4" customFormat="1">
      <c r="A191" s="10"/>
      <c r="B191" s="10"/>
      <c r="C191" s="39"/>
      <c r="D191" s="39"/>
      <c r="E191" s="39"/>
      <c r="G191" s="41"/>
    </row>
    <row r="192" spans="1:7">
      <c r="A192" s="14">
        <f>+SUM(C192:D192)</f>
        <v>23842.971060000003</v>
      </c>
      <c r="B192" s="14" t="s">
        <v>170</v>
      </c>
      <c r="C192" s="41">
        <f>+C68-C104-C188</f>
        <v>19695.782636000004</v>
      </c>
      <c r="D192" s="41">
        <f>+D68-D104-D188</f>
        <v>4147.1884239999999</v>
      </c>
      <c r="E192" s="41">
        <f>+E68-E104-E188</f>
        <v>3147.1884239999999</v>
      </c>
      <c r="G192" s="41">
        <f>+G68-G104-G188</f>
        <v>23842.971059999996</v>
      </c>
    </row>
    <row r="193" spans="7:7">
      <c r="G193" s="57"/>
    </row>
    <row r="194" spans="7:7">
      <c r="G194" s="57"/>
    </row>
  </sheetData>
  <phoneticPr fontId="3" type="noConversion"/>
  <pageMargins left="0.7" right="0.7" top="1.5" bottom="0.54" header="0.3" footer="0.17"/>
  <pageSetup scale="92" fitToHeight="0" orientation="portrait" r:id="rId1"/>
  <headerFooter alignWithMargins="0">
    <oddHeader>&amp;C&amp;"MS Sans Serif,Bold"&amp;18INTERNATIONAL SCHOOL OF LOUISIANA
PRIMETIME
Budget '12-2013
&amp;A</oddHeader>
    <oddFooter>&amp;L&amp;6&amp;Z&amp;F&amp;R&amp;P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194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D35" sqref="D35"/>
    </sheetView>
  </sheetViews>
  <sheetFormatPr defaultColWidth="11.42578125" defaultRowHeight="11.25"/>
  <cols>
    <col min="1" max="1" width="18.5703125" style="10" customWidth="1"/>
    <col min="2" max="2" width="26.85546875" style="10" customWidth="1"/>
    <col min="3" max="4" width="11.42578125" style="1"/>
    <col min="5" max="5" width="2" style="1" customWidth="1"/>
    <col min="6" max="6" width="11.42578125" style="56"/>
    <col min="7" max="16384" width="11.42578125" style="1"/>
  </cols>
  <sheetData>
    <row r="5" spans="1:6">
      <c r="B5" s="11"/>
    </row>
    <row r="7" spans="1:6" s="8" customFormat="1">
      <c r="A7" s="12"/>
      <c r="B7" s="12" t="s">
        <v>371</v>
      </c>
      <c r="C7" s="62">
        <v>3</v>
      </c>
      <c r="D7" s="62">
        <v>2</v>
      </c>
      <c r="F7" s="64">
        <f>SUM(C7:E7)</f>
        <v>5</v>
      </c>
    </row>
    <row r="8" spans="1:6">
      <c r="B8" s="10" t="s">
        <v>499</v>
      </c>
      <c r="C8" s="23">
        <v>140</v>
      </c>
      <c r="D8" s="23">
        <v>50</v>
      </c>
    </row>
    <row r="9" spans="1:6">
      <c r="C9" s="1" t="s">
        <v>498</v>
      </c>
      <c r="D9" s="1" t="s">
        <v>497</v>
      </c>
    </row>
    <row r="10" spans="1:6" s="7" customFormat="1">
      <c r="A10" s="13"/>
      <c r="B10" s="13" t="s">
        <v>174</v>
      </c>
      <c r="C10" s="7">
        <v>3210</v>
      </c>
      <c r="D10" s="7">
        <v>3210</v>
      </c>
      <c r="F10" s="58"/>
    </row>
    <row r="11" spans="1:6">
      <c r="A11" s="10" t="s">
        <v>271</v>
      </c>
    </row>
    <row r="12" spans="1:6">
      <c r="A12" s="10" t="s">
        <v>272</v>
      </c>
    </row>
    <row r="13" spans="1:6">
      <c r="A13" s="10" t="s">
        <v>171</v>
      </c>
      <c r="B13" s="10" t="s">
        <v>273</v>
      </c>
      <c r="C13" s="39"/>
      <c r="D13" s="39"/>
      <c r="F13" s="67">
        <f>SUM(C13:D13)</f>
        <v>0</v>
      </c>
    </row>
    <row r="14" spans="1:6">
      <c r="A14" s="10" t="s">
        <v>172</v>
      </c>
      <c r="B14" s="10" t="s">
        <v>274</v>
      </c>
      <c r="C14" s="39"/>
      <c r="D14" s="39"/>
      <c r="F14" s="67">
        <f t="shared" ref="F14:F37" si="0">SUM(C14:D14)</f>
        <v>0</v>
      </c>
    </row>
    <row r="15" spans="1:6">
      <c r="A15" s="10" t="s">
        <v>173</v>
      </c>
      <c r="B15" s="10" t="s">
        <v>275</v>
      </c>
      <c r="C15" s="39"/>
      <c r="D15" s="39"/>
      <c r="F15" s="67">
        <f t="shared" si="0"/>
        <v>0</v>
      </c>
    </row>
    <row r="16" spans="1:6">
      <c r="A16" s="10" t="s">
        <v>194</v>
      </c>
      <c r="B16" s="10" t="s">
        <v>276</v>
      </c>
      <c r="C16" s="39"/>
      <c r="D16" s="39"/>
      <c r="F16" s="67">
        <f t="shared" si="0"/>
        <v>0</v>
      </c>
    </row>
    <row r="17" spans="1:6">
      <c r="A17" s="10" t="s">
        <v>195</v>
      </c>
      <c r="B17" s="10" t="s">
        <v>277</v>
      </c>
      <c r="C17" s="39"/>
      <c r="D17" s="39"/>
      <c r="F17" s="67">
        <f t="shared" si="0"/>
        <v>0</v>
      </c>
    </row>
    <row r="18" spans="1:6">
      <c r="A18" s="10" t="s">
        <v>196</v>
      </c>
      <c r="B18" s="10" t="s">
        <v>278</v>
      </c>
      <c r="C18" s="54">
        <f>87000/165*C8</f>
        <v>73818.181818181809</v>
      </c>
      <c r="D18" s="54">
        <f>87000/165*D8</f>
        <v>26363.636363636364</v>
      </c>
      <c r="F18" s="67">
        <f t="shared" si="0"/>
        <v>100181.81818181818</v>
      </c>
    </row>
    <row r="19" spans="1:6">
      <c r="A19" s="10" t="s">
        <v>197</v>
      </c>
      <c r="B19" s="10" t="s">
        <v>279</v>
      </c>
      <c r="C19" s="39"/>
      <c r="D19" s="39"/>
      <c r="F19" s="67">
        <f t="shared" si="0"/>
        <v>0</v>
      </c>
    </row>
    <row r="20" spans="1:6">
      <c r="A20" s="10" t="s">
        <v>198</v>
      </c>
      <c r="B20" s="10" t="s">
        <v>280</v>
      </c>
      <c r="C20" s="39"/>
      <c r="D20" s="39"/>
      <c r="F20" s="67">
        <f t="shared" si="0"/>
        <v>0</v>
      </c>
    </row>
    <row r="21" spans="1:6">
      <c r="A21" s="10" t="s">
        <v>199</v>
      </c>
      <c r="B21" s="10" t="s">
        <v>281</v>
      </c>
      <c r="C21" s="39"/>
      <c r="D21" s="39"/>
      <c r="F21" s="67">
        <f t="shared" si="0"/>
        <v>0</v>
      </c>
    </row>
    <row r="22" spans="1:6">
      <c r="A22" s="10" t="s">
        <v>200</v>
      </c>
      <c r="B22" s="10" t="s">
        <v>282</v>
      </c>
      <c r="C22" s="39"/>
      <c r="D22" s="39"/>
      <c r="F22" s="67">
        <f t="shared" si="0"/>
        <v>0</v>
      </c>
    </row>
    <row r="23" spans="1:6">
      <c r="A23" s="10" t="s">
        <v>201</v>
      </c>
      <c r="B23" s="10" t="s">
        <v>283</v>
      </c>
      <c r="C23" s="39"/>
      <c r="D23" s="39"/>
      <c r="F23" s="67">
        <f t="shared" si="0"/>
        <v>0</v>
      </c>
    </row>
    <row r="24" spans="1:6">
      <c r="A24" s="10" t="s">
        <v>202</v>
      </c>
      <c r="B24" s="10" t="s">
        <v>284</v>
      </c>
      <c r="C24" s="39"/>
      <c r="D24" s="39"/>
      <c r="F24" s="67">
        <f t="shared" si="0"/>
        <v>0</v>
      </c>
    </row>
    <row r="25" spans="1:6">
      <c r="A25" s="10" t="s">
        <v>203</v>
      </c>
      <c r="B25" s="10" t="s">
        <v>285</v>
      </c>
      <c r="C25" s="39"/>
      <c r="D25" s="39"/>
      <c r="F25" s="67">
        <f t="shared" si="0"/>
        <v>0</v>
      </c>
    </row>
    <row r="26" spans="1:6">
      <c r="A26" s="10" t="s">
        <v>204</v>
      </c>
      <c r="B26" s="10" t="s">
        <v>286</v>
      </c>
      <c r="C26" s="39"/>
      <c r="D26" s="39"/>
      <c r="F26" s="67">
        <f t="shared" si="0"/>
        <v>0</v>
      </c>
    </row>
    <row r="27" spans="1:6">
      <c r="A27" s="10" t="s">
        <v>205</v>
      </c>
      <c r="B27" s="10" t="s">
        <v>287</v>
      </c>
      <c r="C27" s="39"/>
      <c r="D27" s="39"/>
      <c r="F27" s="67">
        <f t="shared" si="0"/>
        <v>0</v>
      </c>
    </row>
    <row r="28" spans="1:6">
      <c r="A28" s="10" t="s">
        <v>206</v>
      </c>
      <c r="B28" s="10" t="s">
        <v>288</v>
      </c>
      <c r="C28" s="39"/>
      <c r="D28" s="39"/>
      <c r="F28" s="67">
        <f t="shared" si="0"/>
        <v>0</v>
      </c>
    </row>
    <row r="29" spans="1:6">
      <c r="A29" s="10" t="s">
        <v>207</v>
      </c>
      <c r="B29" s="10" t="s">
        <v>289</v>
      </c>
      <c r="C29" s="39"/>
      <c r="D29" s="39"/>
      <c r="F29" s="67">
        <f t="shared" si="0"/>
        <v>0</v>
      </c>
    </row>
    <row r="30" spans="1:6">
      <c r="A30" s="10" t="s">
        <v>209</v>
      </c>
      <c r="B30" s="10" t="s">
        <v>290</v>
      </c>
      <c r="C30" s="39"/>
      <c r="D30" s="39"/>
      <c r="F30" s="67">
        <f t="shared" si="0"/>
        <v>0</v>
      </c>
    </row>
    <row r="31" spans="1:6">
      <c r="A31" s="10" t="s">
        <v>208</v>
      </c>
      <c r="B31" s="10" t="s">
        <v>291</v>
      </c>
      <c r="C31" s="39"/>
      <c r="D31" s="39"/>
      <c r="F31" s="67">
        <f t="shared" si="0"/>
        <v>0</v>
      </c>
    </row>
    <row r="32" spans="1:6">
      <c r="A32" s="10" t="s">
        <v>210</v>
      </c>
      <c r="B32" s="10" t="s">
        <v>211</v>
      </c>
      <c r="C32" s="39"/>
      <c r="D32" s="39"/>
      <c r="F32" s="67">
        <f t="shared" si="0"/>
        <v>0</v>
      </c>
    </row>
    <row r="33" spans="1:6">
      <c r="A33" s="10" t="s">
        <v>214</v>
      </c>
      <c r="B33" s="10" t="s">
        <v>215</v>
      </c>
      <c r="C33" s="39"/>
      <c r="D33" s="39"/>
      <c r="F33" s="67">
        <f t="shared" si="0"/>
        <v>0</v>
      </c>
    </row>
    <row r="34" spans="1:6">
      <c r="A34" s="10" t="s">
        <v>213</v>
      </c>
      <c r="B34" s="10" t="s">
        <v>292</v>
      </c>
      <c r="C34" s="39"/>
      <c r="D34" s="39"/>
      <c r="F34" s="67">
        <f t="shared" si="0"/>
        <v>0</v>
      </c>
    </row>
    <row r="35" spans="1:6">
      <c r="A35" s="10" t="s">
        <v>212</v>
      </c>
      <c r="B35" s="10" t="s">
        <v>293</v>
      </c>
      <c r="C35" s="39"/>
      <c r="D35" s="39"/>
      <c r="F35" s="67">
        <f t="shared" si="0"/>
        <v>0</v>
      </c>
    </row>
    <row r="36" spans="1:6">
      <c r="A36" s="10" t="s">
        <v>216</v>
      </c>
      <c r="B36" s="10" t="s">
        <v>294</v>
      </c>
      <c r="C36" s="39"/>
      <c r="D36" s="39"/>
      <c r="F36" s="67">
        <f t="shared" si="0"/>
        <v>0</v>
      </c>
    </row>
    <row r="37" spans="1:6">
      <c r="A37" s="10" t="s">
        <v>217</v>
      </c>
      <c r="B37" s="10" t="s">
        <v>295</v>
      </c>
      <c r="C37" s="40"/>
      <c r="D37" s="40"/>
      <c r="F37" s="66">
        <f t="shared" si="0"/>
        <v>0</v>
      </c>
    </row>
    <row r="38" spans="1:6">
      <c r="B38" s="10" t="s">
        <v>296</v>
      </c>
      <c r="C38" s="39">
        <f>SUM(C13:C37)</f>
        <v>73818.181818181809</v>
      </c>
      <c r="D38" s="39">
        <f>SUM(D13:D37)</f>
        <v>26363.636363636364</v>
      </c>
      <c r="F38" s="41">
        <f>SUM(F13:F37)</f>
        <v>100181.81818181818</v>
      </c>
    </row>
    <row r="39" spans="1:6">
      <c r="C39" s="39"/>
      <c r="D39" s="39"/>
      <c r="F39" s="57"/>
    </row>
    <row r="40" spans="1:6">
      <c r="A40" s="10" t="s">
        <v>297</v>
      </c>
      <c r="C40" s="39"/>
      <c r="D40" s="39"/>
      <c r="F40" s="57"/>
    </row>
    <row r="41" spans="1:6">
      <c r="A41" s="10" t="s">
        <v>218</v>
      </c>
      <c r="B41" s="10" t="s">
        <v>298</v>
      </c>
      <c r="C41" s="39"/>
      <c r="D41" s="39"/>
      <c r="F41" s="67">
        <f t="shared" ref="F41:F48" si="1">SUM(C41:D41)</f>
        <v>0</v>
      </c>
    </row>
    <row r="42" spans="1:6">
      <c r="A42" s="10" t="s">
        <v>219</v>
      </c>
      <c r="B42" s="10" t="s">
        <v>220</v>
      </c>
      <c r="C42" s="39"/>
      <c r="D42" s="39"/>
      <c r="F42" s="67">
        <f t="shared" si="1"/>
        <v>0</v>
      </c>
    </row>
    <row r="43" spans="1:6">
      <c r="A43" s="10" t="s">
        <v>221</v>
      </c>
      <c r="B43" s="10" t="s">
        <v>222</v>
      </c>
      <c r="C43" s="39"/>
      <c r="D43" s="39"/>
      <c r="F43" s="67">
        <f t="shared" si="1"/>
        <v>0</v>
      </c>
    </row>
    <row r="44" spans="1:6">
      <c r="A44" s="10" t="s">
        <v>223</v>
      </c>
      <c r="B44" s="10" t="s">
        <v>299</v>
      </c>
      <c r="C44" s="39"/>
      <c r="D44" s="39"/>
      <c r="F44" s="67">
        <f t="shared" si="1"/>
        <v>0</v>
      </c>
    </row>
    <row r="45" spans="1:6">
      <c r="A45" s="10" t="s">
        <v>224</v>
      </c>
      <c r="B45" s="10" t="s">
        <v>225</v>
      </c>
      <c r="C45" s="39"/>
      <c r="D45" s="39"/>
      <c r="F45" s="67">
        <f t="shared" si="1"/>
        <v>0</v>
      </c>
    </row>
    <row r="46" spans="1:6">
      <c r="A46" s="10" t="s">
        <v>226</v>
      </c>
      <c r="B46" s="10" t="s">
        <v>227</v>
      </c>
      <c r="C46" s="39"/>
      <c r="D46" s="39"/>
      <c r="F46" s="67">
        <f t="shared" si="1"/>
        <v>0</v>
      </c>
    </row>
    <row r="47" spans="1:6">
      <c r="A47" s="10" t="s">
        <v>228</v>
      </c>
      <c r="B47" s="10" t="s">
        <v>300</v>
      </c>
      <c r="C47" s="39"/>
      <c r="D47" s="39"/>
      <c r="F47" s="67">
        <f t="shared" si="1"/>
        <v>0</v>
      </c>
    </row>
    <row r="48" spans="1:6">
      <c r="A48" s="10" t="s">
        <v>229</v>
      </c>
      <c r="B48" s="10" t="s">
        <v>301</v>
      </c>
      <c r="C48" s="40"/>
      <c r="D48" s="40"/>
      <c r="F48" s="66">
        <f t="shared" si="1"/>
        <v>0</v>
      </c>
    </row>
    <row r="49" spans="1:6">
      <c r="B49" s="10" t="s">
        <v>302</v>
      </c>
      <c r="C49" s="39">
        <f>SUM(C41:C48)</f>
        <v>0</v>
      </c>
      <c r="D49" s="39">
        <f>SUM(D41:D48)</f>
        <v>0</v>
      </c>
      <c r="F49" s="57">
        <f>SUM(F41:F48)</f>
        <v>0</v>
      </c>
    </row>
    <row r="50" spans="1:6">
      <c r="C50" s="39"/>
      <c r="D50" s="39"/>
      <c r="F50" s="57"/>
    </row>
    <row r="51" spans="1:6">
      <c r="A51" s="10" t="s">
        <v>303</v>
      </c>
      <c r="C51" s="39"/>
      <c r="D51" s="39"/>
      <c r="F51" s="57"/>
    </row>
    <row r="52" spans="1:6">
      <c r="A52" s="10" t="s">
        <v>304</v>
      </c>
      <c r="C52" s="39"/>
      <c r="D52" s="39"/>
      <c r="F52" s="57"/>
    </row>
    <row r="53" spans="1:6">
      <c r="A53" s="10" t="s">
        <v>230</v>
      </c>
      <c r="B53" s="10" t="s">
        <v>407</v>
      </c>
      <c r="C53" s="39"/>
      <c r="D53" s="39"/>
      <c r="F53" s="67">
        <f t="shared" ref="F53:F65" si="2">SUM(C53:D53)</f>
        <v>0</v>
      </c>
    </row>
    <row r="54" spans="1:6">
      <c r="A54" s="10" t="s">
        <v>231</v>
      </c>
      <c r="B54" s="10" t="s">
        <v>408</v>
      </c>
      <c r="C54" s="39"/>
      <c r="D54" s="39"/>
      <c r="F54" s="67">
        <f t="shared" si="2"/>
        <v>0</v>
      </c>
    </row>
    <row r="55" spans="1:6">
      <c r="A55" s="10" t="s">
        <v>232</v>
      </c>
      <c r="B55" s="10" t="s">
        <v>409</v>
      </c>
      <c r="C55" s="39"/>
      <c r="D55" s="39"/>
      <c r="F55" s="67">
        <f t="shared" si="2"/>
        <v>0</v>
      </c>
    </row>
    <row r="56" spans="1:6">
      <c r="A56" s="10" t="s">
        <v>233</v>
      </c>
      <c r="B56" s="10" t="s">
        <v>305</v>
      </c>
      <c r="C56" s="39"/>
      <c r="D56" s="39"/>
      <c r="F56" s="67">
        <f t="shared" si="2"/>
        <v>0</v>
      </c>
    </row>
    <row r="57" spans="1:6">
      <c r="A57" s="10" t="s">
        <v>234</v>
      </c>
      <c r="B57" s="10" t="s">
        <v>306</v>
      </c>
      <c r="C57" s="39"/>
      <c r="D57" s="39"/>
      <c r="F57" s="67">
        <f t="shared" si="2"/>
        <v>0</v>
      </c>
    </row>
    <row r="58" spans="1:6">
      <c r="A58" s="10" t="s">
        <v>0</v>
      </c>
      <c r="B58" s="10" t="s">
        <v>307</v>
      </c>
      <c r="C58" s="39"/>
      <c r="D58" s="39"/>
      <c r="F58" s="67">
        <f t="shared" si="2"/>
        <v>0</v>
      </c>
    </row>
    <row r="59" spans="1:6">
      <c r="A59" s="10" t="s">
        <v>1</v>
      </c>
      <c r="B59" s="10" t="s">
        <v>308</v>
      </c>
      <c r="C59" s="54">
        <v>188152</v>
      </c>
      <c r="D59" s="54">
        <v>33598</v>
      </c>
      <c r="F59" s="67">
        <f t="shared" si="2"/>
        <v>221750</v>
      </c>
    </row>
    <row r="60" spans="1:6">
      <c r="A60" s="10" t="s">
        <v>3</v>
      </c>
      <c r="B60" s="10" t="s">
        <v>2</v>
      </c>
      <c r="C60" s="54"/>
      <c r="D60" s="54"/>
      <c r="F60" s="67">
        <f t="shared" si="2"/>
        <v>0</v>
      </c>
    </row>
    <row r="61" spans="1:6">
      <c r="A61" s="10" t="s">
        <v>4</v>
      </c>
      <c r="B61" s="10" t="s">
        <v>5</v>
      </c>
      <c r="C61" s="54"/>
      <c r="D61" s="54"/>
      <c r="F61" s="67">
        <f t="shared" si="2"/>
        <v>0</v>
      </c>
    </row>
    <row r="62" spans="1:6">
      <c r="A62" s="10" t="s">
        <v>6</v>
      </c>
      <c r="B62" s="10" t="s">
        <v>7</v>
      </c>
      <c r="C62" s="54"/>
      <c r="D62" s="54"/>
      <c r="F62" s="67">
        <f t="shared" si="2"/>
        <v>0</v>
      </c>
    </row>
    <row r="63" spans="1:6">
      <c r="A63" s="10" t="s">
        <v>8</v>
      </c>
      <c r="B63" s="10" t="s">
        <v>9</v>
      </c>
      <c r="C63" s="54"/>
      <c r="D63" s="54"/>
      <c r="F63" s="67">
        <f t="shared" si="2"/>
        <v>0</v>
      </c>
    </row>
    <row r="64" spans="1:6">
      <c r="A64" s="10" t="s">
        <v>11</v>
      </c>
      <c r="B64" s="10" t="s">
        <v>310</v>
      </c>
      <c r="C64" s="54"/>
      <c r="D64" s="54"/>
      <c r="F64" s="67">
        <f t="shared" si="2"/>
        <v>0</v>
      </c>
    </row>
    <row r="65" spans="1:6">
      <c r="A65" s="10" t="s">
        <v>10</v>
      </c>
      <c r="B65" s="10" t="s">
        <v>309</v>
      </c>
      <c r="C65" s="55"/>
      <c r="D65" s="55"/>
      <c r="F65" s="66">
        <f t="shared" si="2"/>
        <v>0</v>
      </c>
    </row>
    <row r="66" spans="1:6">
      <c r="B66" s="10" t="s">
        <v>311</v>
      </c>
      <c r="C66" s="54">
        <f>SUM(C53:C65)</f>
        <v>188152</v>
      </c>
      <c r="D66" s="54">
        <f>SUM(D53:D65)</f>
        <v>33598</v>
      </c>
      <c r="F66" s="57">
        <f>SUM(F53:F65)</f>
        <v>221750</v>
      </c>
    </row>
    <row r="67" spans="1:6">
      <c r="C67" s="54"/>
      <c r="D67" s="54"/>
      <c r="F67" s="57"/>
    </row>
    <row r="68" spans="1:6" s="4" customFormat="1" ht="10.5">
      <c r="A68" s="14"/>
      <c r="B68" s="14" t="s">
        <v>312</v>
      </c>
      <c r="C68" s="57">
        <f>SUM(C38+C49+C66)</f>
        <v>261970.18181818182</v>
      </c>
      <c r="D68" s="57">
        <f>SUM(D38+D49+D66)</f>
        <v>59961.636363636368</v>
      </c>
      <c r="F68" s="41">
        <f>+F66+F49+F38</f>
        <v>321931.81818181818</v>
      </c>
    </row>
    <row r="69" spans="1:6">
      <c r="C69" s="54"/>
      <c r="D69" s="54"/>
      <c r="F69" s="57"/>
    </row>
    <row r="70" spans="1:6">
      <c r="A70" s="10" t="s">
        <v>313</v>
      </c>
      <c r="C70" s="54"/>
      <c r="D70" s="54"/>
      <c r="F70" s="57"/>
    </row>
    <row r="71" spans="1:6">
      <c r="A71" s="10" t="s">
        <v>314</v>
      </c>
      <c r="C71" s="54"/>
      <c r="D71" s="54"/>
      <c r="F71" s="57"/>
    </row>
    <row r="72" spans="1:6">
      <c r="A72" s="10" t="s">
        <v>19</v>
      </c>
      <c r="B72" s="10" t="s">
        <v>323</v>
      </c>
      <c r="C72" s="54"/>
      <c r="D72" s="54"/>
      <c r="F72" s="67">
        <f t="shared" ref="F72:F79" si="3">SUM(C72:D72)</f>
        <v>0</v>
      </c>
    </row>
    <row r="73" spans="1:6">
      <c r="A73" s="10" t="s">
        <v>12</v>
      </c>
      <c r="B73" s="10" t="s">
        <v>315</v>
      </c>
      <c r="C73" s="54">
        <f>SUM(58000-16000/4*3)/165*C8</f>
        <v>39030.303030303032</v>
      </c>
      <c r="D73" s="54">
        <f>SUM(58000-16000/4*3)/165*D8</f>
        <v>13939.39393939394</v>
      </c>
      <c r="F73" s="67">
        <f t="shared" si="3"/>
        <v>52969.696969696975</v>
      </c>
    </row>
    <row r="74" spans="1:6">
      <c r="A74" s="10" t="s">
        <v>13</v>
      </c>
      <c r="B74" s="10" t="s">
        <v>316</v>
      </c>
      <c r="C74" s="39"/>
      <c r="D74" s="39"/>
      <c r="F74" s="67">
        <f t="shared" si="3"/>
        <v>0</v>
      </c>
    </row>
    <row r="75" spans="1:6">
      <c r="A75" s="10" t="s">
        <v>14</v>
      </c>
      <c r="B75" s="10" t="s">
        <v>317</v>
      </c>
      <c r="C75" s="39"/>
      <c r="D75" s="39"/>
      <c r="F75" s="67">
        <f t="shared" si="3"/>
        <v>0</v>
      </c>
    </row>
    <row r="76" spans="1:6">
      <c r="A76" s="10" t="s">
        <v>15</v>
      </c>
      <c r="B76" s="10" t="s">
        <v>318</v>
      </c>
      <c r="C76" s="39"/>
      <c r="D76" s="39"/>
      <c r="F76" s="67">
        <f t="shared" si="3"/>
        <v>0</v>
      </c>
    </row>
    <row r="77" spans="1:6">
      <c r="A77" s="10" t="s">
        <v>16</v>
      </c>
      <c r="B77" s="10" t="s">
        <v>319</v>
      </c>
      <c r="C77" s="39"/>
      <c r="D77" s="39"/>
      <c r="F77" s="67">
        <f t="shared" si="3"/>
        <v>0</v>
      </c>
    </row>
    <row r="78" spans="1:6">
      <c r="A78" s="10" t="s">
        <v>17</v>
      </c>
      <c r="B78" s="10" t="s">
        <v>320</v>
      </c>
      <c r="C78" s="39"/>
      <c r="D78" s="39"/>
      <c r="F78" s="67">
        <f t="shared" si="3"/>
        <v>0</v>
      </c>
    </row>
    <row r="79" spans="1:6" ht="14.25" customHeight="1">
      <c r="A79" s="10" t="s">
        <v>18</v>
      </c>
      <c r="B79" s="10" t="s">
        <v>322</v>
      </c>
      <c r="C79" s="40"/>
      <c r="D79" s="40"/>
      <c r="F79" s="66">
        <f t="shared" si="3"/>
        <v>0</v>
      </c>
    </row>
    <row r="80" spans="1:6">
      <c r="B80" s="10" t="s">
        <v>24</v>
      </c>
      <c r="C80" s="39">
        <f>SUM(C72:C79)</f>
        <v>39030.303030303032</v>
      </c>
      <c r="D80" s="39">
        <f>SUM(D72:D79)</f>
        <v>13939.39393939394</v>
      </c>
      <c r="F80" s="57">
        <f>SUM(F72:F79)</f>
        <v>52969.696969696975</v>
      </c>
    </row>
    <row r="81" spans="1:6">
      <c r="C81" s="39"/>
      <c r="D81" s="39"/>
      <c r="F81" s="57"/>
    </row>
    <row r="82" spans="1:6">
      <c r="C82" s="39"/>
      <c r="D82" s="39"/>
      <c r="F82" s="57"/>
    </row>
    <row r="83" spans="1:6">
      <c r="A83" s="10" t="s">
        <v>325</v>
      </c>
      <c r="C83" s="39"/>
      <c r="D83" s="39"/>
      <c r="F83" s="57"/>
    </row>
    <row r="84" spans="1:6">
      <c r="A84" s="10" t="s">
        <v>20</v>
      </c>
      <c r="B84" s="10" t="s">
        <v>324</v>
      </c>
      <c r="C84" s="39"/>
      <c r="D84" s="39"/>
      <c r="F84" s="67">
        <f>SUM(C84:D84)</f>
        <v>0</v>
      </c>
    </row>
    <row r="85" spans="1:6">
      <c r="A85" s="10" t="s">
        <v>21</v>
      </c>
      <c r="B85" s="10" t="s">
        <v>325</v>
      </c>
      <c r="C85" s="39"/>
      <c r="D85" s="39"/>
      <c r="F85" s="67">
        <f>SUM(C85:D85)</f>
        <v>0</v>
      </c>
    </row>
    <row r="86" spans="1:6">
      <c r="A86" s="10" t="s">
        <v>440</v>
      </c>
      <c r="B86" s="10" t="s">
        <v>441</v>
      </c>
      <c r="C86" s="39"/>
      <c r="D86" s="39"/>
      <c r="F86" s="67">
        <f>SUM(C86:D86)</f>
        <v>0</v>
      </c>
    </row>
    <row r="87" spans="1:6">
      <c r="A87" s="10" t="s">
        <v>22</v>
      </c>
      <c r="B87" s="10" t="s">
        <v>23</v>
      </c>
      <c r="C87" s="40"/>
      <c r="D87" s="40"/>
      <c r="F87" s="66">
        <f>SUM(C87:D87)</f>
        <v>0</v>
      </c>
    </row>
    <row r="88" spans="1:6">
      <c r="B88" s="10" t="s">
        <v>326</v>
      </c>
      <c r="C88" s="39">
        <f>SUM(C84:C87)</f>
        <v>0</v>
      </c>
      <c r="D88" s="39">
        <f>SUM(D84:D87)</f>
        <v>0</v>
      </c>
      <c r="F88" s="57">
        <f>SUM(F84:F87)</f>
        <v>0</v>
      </c>
    </row>
    <row r="89" spans="1:6">
      <c r="C89" s="39"/>
      <c r="D89" s="39"/>
      <c r="F89" s="57"/>
    </row>
    <row r="90" spans="1:6">
      <c r="B90" s="10" t="s">
        <v>327</v>
      </c>
      <c r="C90" s="39">
        <f>SUM(C80+C88)</f>
        <v>39030.303030303032</v>
      </c>
      <c r="D90" s="39">
        <f>SUM(D80+D88)</f>
        <v>13939.39393939394</v>
      </c>
      <c r="F90" s="41">
        <f>+F80+F88</f>
        <v>52969.696969696975</v>
      </c>
    </row>
    <row r="91" spans="1:6">
      <c r="C91" s="39"/>
      <c r="D91" s="39"/>
      <c r="F91" s="57"/>
    </row>
    <row r="92" spans="1:6">
      <c r="A92" s="10" t="s">
        <v>328</v>
      </c>
      <c r="C92" s="39"/>
      <c r="D92" s="39"/>
      <c r="F92" s="57"/>
    </row>
    <row r="93" spans="1:6">
      <c r="A93" s="10" t="s">
        <v>25</v>
      </c>
      <c r="B93" s="10" t="s">
        <v>33</v>
      </c>
      <c r="C93" s="39"/>
      <c r="D93" s="39"/>
      <c r="F93" s="67">
        <f t="shared" ref="F93:F101" si="4">SUM(C93:D93)</f>
        <v>0</v>
      </c>
    </row>
    <row r="94" spans="1:6">
      <c r="A94" s="10" t="s">
        <v>26</v>
      </c>
      <c r="B94" s="10" t="s">
        <v>34</v>
      </c>
      <c r="C94" s="39"/>
      <c r="D94" s="39"/>
      <c r="F94" s="67">
        <f t="shared" si="4"/>
        <v>0</v>
      </c>
    </row>
    <row r="95" spans="1:6">
      <c r="A95" s="10" t="s">
        <v>28</v>
      </c>
      <c r="B95" s="10" t="s">
        <v>27</v>
      </c>
      <c r="C95" s="39">
        <f>(+C$88-C$84+C$80)*0.062</f>
        <v>2419.878787878788</v>
      </c>
      <c r="D95" s="39">
        <f>(+D$88-D$84+D$80)*0.062</f>
        <v>864.24242424242425</v>
      </c>
      <c r="F95" s="67">
        <f t="shared" si="4"/>
        <v>3284.121212121212</v>
      </c>
    </row>
    <row r="96" spans="1:6">
      <c r="A96" s="10" t="s">
        <v>30</v>
      </c>
      <c r="B96" s="10" t="s">
        <v>29</v>
      </c>
      <c r="C96" s="39">
        <f>(+C$88-C$84+C$80)*0.0145</f>
        <v>565.93939393939399</v>
      </c>
      <c r="D96" s="39">
        <f>(+D$88-D$84+D$80)*0.0145</f>
        <v>202.12121212121215</v>
      </c>
      <c r="F96" s="67">
        <f t="shared" si="4"/>
        <v>768.06060606060612</v>
      </c>
    </row>
    <row r="97" spans="1:6">
      <c r="A97" s="10" t="s">
        <v>31</v>
      </c>
      <c r="B97" s="10" t="s">
        <v>32</v>
      </c>
      <c r="C97" s="39">
        <f>+C18*0.06*0.5</f>
        <v>2214.545454545454</v>
      </c>
      <c r="D97" s="39">
        <f>+D18*0.06*0.5</f>
        <v>790.90909090909088</v>
      </c>
      <c r="F97" s="67">
        <f t="shared" si="4"/>
        <v>3005.454545454545</v>
      </c>
    </row>
    <row r="98" spans="1:6">
      <c r="A98" s="10" t="s">
        <v>36</v>
      </c>
      <c r="B98" s="10" t="s">
        <v>35</v>
      </c>
      <c r="C98" s="39">
        <f>(+C$88-C$84+C$80)*0.0056</f>
        <v>218.56969696969696</v>
      </c>
      <c r="D98" s="39">
        <f>(+D$88-D$84+D$80)*0.0056</f>
        <v>78.060606060606062</v>
      </c>
      <c r="F98" s="67">
        <f t="shared" si="4"/>
        <v>296.63030303030303</v>
      </c>
    </row>
    <row r="99" spans="1:6">
      <c r="A99" s="10" t="s">
        <v>38</v>
      </c>
      <c r="B99" s="10" t="s">
        <v>37</v>
      </c>
      <c r="C99" s="39">
        <f>+C$7*7700*0.0201</f>
        <v>464.31</v>
      </c>
      <c r="D99" s="39">
        <f>+D$7*7700*0.0201</f>
        <v>309.54000000000002</v>
      </c>
      <c r="F99" s="67">
        <f t="shared" si="4"/>
        <v>773.85</v>
      </c>
    </row>
    <row r="100" spans="1:6">
      <c r="A100" s="10" t="s">
        <v>83</v>
      </c>
      <c r="B100" s="10" t="s">
        <v>84</v>
      </c>
      <c r="C100" s="39"/>
      <c r="D100" s="39"/>
      <c r="F100" s="67">
        <f t="shared" si="4"/>
        <v>0</v>
      </c>
    </row>
    <row r="101" spans="1:6">
      <c r="A101" s="10" t="s">
        <v>39</v>
      </c>
      <c r="B101" s="10" t="s">
        <v>40</v>
      </c>
      <c r="C101" s="40">
        <f>(+C$88-C$84+C$80)*(0.0024+0.0036+0.0013)</f>
        <v>284.92121212121214</v>
      </c>
      <c r="D101" s="40">
        <f>(+D$88-D$84+D$80)*(0.0024+0.0036+0.0013)</f>
        <v>101.75757575757576</v>
      </c>
      <c r="F101" s="66">
        <f t="shared" si="4"/>
        <v>386.67878787878789</v>
      </c>
    </row>
    <row r="102" spans="1:6">
      <c r="B102" s="10" t="s">
        <v>235</v>
      </c>
      <c r="C102" s="39">
        <f>SUM(C93:C101)</f>
        <v>6168.164545454546</v>
      </c>
      <c r="D102" s="39">
        <f>SUM(D93:D101)</f>
        <v>2346.6309090909094</v>
      </c>
      <c r="F102" s="57">
        <f>SUM(F93:F101)</f>
        <v>8514.795454545454</v>
      </c>
    </row>
    <row r="103" spans="1:6">
      <c r="C103" s="39"/>
      <c r="D103" s="39"/>
      <c r="F103" s="57"/>
    </row>
    <row r="104" spans="1:6" s="4" customFormat="1" ht="10.5">
      <c r="A104" s="14"/>
      <c r="B104" s="14" t="s">
        <v>236</v>
      </c>
      <c r="C104" s="41">
        <f>SUM(C90+C102)</f>
        <v>45198.467575757575</v>
      </c>
      <c r="D104" s="41">
        <f>SUM(D90+D102)</f>
        <v>16286.024848484849</v>
      </c>
      <c r="F104" s="41">
        <f>+F90+F102</f>
        <v>61484.492424242431</v>
      </c>
    </row>
    <row r="105" spans="1:6">
      <c r="C105" s="39"/>
      <c r="D105" s="39"/>
      <c r="F105" s="57"/>
    </row>
    <row r="106" spans="1:6">
      <c r="A106" s="10" t="s">
        <v>237</v>
      </c>
      <c r="C106" s="39"/>
      <c r="D106" s="39"/>
      <c r="F106" s="57"/>
    </row>
    <row r="107" spans="1:6">
      <c r="A107" s="10" t="s">
        <v>238</v>
      </c>
      <c r="C107" s="39"/>
      <c r="D107" s="39"/>
      <c r="F107" s="57"/>
    </row>
    <row r="108" spans="1:6">
      <c r="A108" s="10" t="s">
        <v>51</v>
      </c>
      <c r="B108" s="10" t="s">
        <v>50</v>
      </c>
      <c r="C108" s="39">
        <f>24700/165*C8</f>
        <v>20957.575757575756</v>
      </c>
      <c r="D108" s="39">
        <f>24700/165*D8</f>
        <v>7484.8484848484841</v>
      </c>
      <c r="F108" s="67">
        <f t="shared" ref="F108:F121" si="5">SUM(C108:D108)</f>
        <v>28442.42424242424</v>
      </c>
    </row>
    <row r="109" spans="1:6">
      <c r="A109" s="10" t="s">
        <v>41</v>
      </c>
      <c r="B109" s="10" t="s">
        <v>42</v>
      </c>
      <c r="C109" s="39">
        <f>SUM(145400-C108-27200/4*3)/165*C8</f>
        <v>88278.420569329654</v>
      </c>
      <c r="D109" s="39">
        <f>SUM(145400-D108-27200/4*3)/165*D8</f>
        <v>35610.651974288339</v>
      </c>
      <c r="F109" s="67">
        <f t="shared" si="5"/>
        <v>123889.07254361799</v>
      </c>
    </row>
    <row r="110" spans="1:6">
      <c r="A110" s="10" t="s">
        <v>43</v>
      </c>
      <c r="B110" s="10" t="s">
        <v>239</v>
      </c>
      <c r="C110" s="39">
        <f>6.06060606060606*C8</f>
        <v>848.4848484848485</v>
      </c>
      <c r="D110" s="39">
        <f>6.06060606060606*D8</f>
        <v>303.030303030303</v>
      </c>
      <c r="F110" s="67">
        <f t="shared" si="5"/>
        <v>1151.5151515151515</v>
      </c>
    </row>
    <row r="111" spans="1:6">
      <c r="A111" s="10" t="s">
        <v>44</v>
      </c>
      <c r="B111" s="10" t="s">
        <v>45</v>
      </c>
      <c r="C111" s="39"/>
      <c r="D111" s="39"/>
      <c r="F111" s="67">
        <f t="shared" si="5"/>
        <v>0</v>
      </c>
    </row>
    <row r="112" spans="1:6">
      <c r="A112" s="10" t="s">
        <v>46</v>
      </c>
      <c r="B112" s="10" t="s">
        <v>240</v>
      </c>
      <c r="C112" s="39"/>
      <c r="D112" s="39"/>
      <c r="F112" s="67">
        <f t="shared" si="5"/>
        <v>0</v>
      </c>
    </row>
    <row r="113" spans="1:6">
      <c r="A113" s="10" t="s">
        <v>47</v>
      </c>
      <c r="B113" s="10" t="s">
        <v>241</v>
      </c>
      <c r="C113" s="39">
        <f>12.1212121212121*C8</f>
        <v>1696.969696969697</v>
      </c>
      <c r="D113" s="39">
        <f>12.1212121212121*D8</f>
        <v>606.06060606060498</v>
      </c>
      <c r="F113" s="67">
        <f t="shared" si="5"/>
        <v>2303.0303030303021</v>
      </c>
    </row>
    <row r="114" spans="1:6">
      <c r="A114" s="10" t="s">
        <v>48</v>
      </c>
      <c r="B114" s="10" t="s">
        <v>49</v>
      </c>
      <c r="C114" s="39"/>
      <c r="D114" s="39"/>
      <c r="F114" s="67">
        <f t="shared" si="5"/>
        <v>0</v>
      </c>
    </row>
    <row r="115" spans="1:6">
      <c r="A115" s="10" t="s">
        <v>82</v>
      </c>
      <c r="B115" s="10" t="s">
        <v>166</v>
      </c>
      <c r="C115" s="39"/>
      <c r="D115" s="39"/>
      <c r="F115" s="67">
        <f t="shared" si="5"/>
        <v>0</v>
      </c>
    </row>
    <row r="116" spans="1:6">
      <c r="A116" s="10" t="s">
        <v>104</v>
      </c>
      <c r="B116" s="10" t="s">
        <v>103</v>
      </c>
      <c r="C116" s="39">
        <f>1.51515151515152*C8</f>
        <v>212.12121212121212</v>
      </c>
      <c r="D116" s="39">
        <f>1.51515151515152*D8</f>
        <v>75.757575757576006</v>
      </c>
      <c r="F116" s="67">
        <f t="shared" si="5"/>
        <v>287.8787878787881</v>
      </c>
    </row>
    <row r="117" spans="1:6">
      <c r="A117" s="10" t="s">
        <v>59</v>
      </c>
      <c r="B117" s="10" t="s">
        <v>321</v>
      </c>
      <c r="C117" s="39"/>
      <c r="D117" s="39"/>
      <c r="F117" s="67">
        <f t="shared" si="5"/>
        <v>0</v>
      </c>
    </row>
    <row r="118" spans="1:6">
      <c r="A118" s="10" t="s">
        <v>87</v>
      </c>
      <c r="B118" s="10" t="s">
        <v>88</v>
      </c>
      <c r="C118" s="39"/>
      <c r="D118" s="39"/>
      <c r="F118" s="67">
        <f t="shared" si="5"/>
        <v>0</v>
      </c>
    </row>
    <row r="119" spans="1:6">
      <c r="A119" s="10" t="s">
        <v>89</v>
      </c>
      <c r="B119" s="10" t="s">
        <v>90</v>
      </c>
      <c r="C119" s="39"/>
      <c r="D119" s="39"/>
      <c r="F119" s="67">
        <f t="shared" si="5"/>
        <v>0</v>
      </c>
    </row>
    <row r="120" spans="1:6">
      <c r="A120" s="10" t="s">
        <v>450</v>
      </c>
      <c r="B120" s="10" t="s">
        <v>451</v>
      </c>
      <c r="C120" s="39">
        <f>SUM(375*3)/165*C8</f>
        <v>954.54545454545462</v>
      </c>
      <c r="D120" s="39">
        <f>SUM(375*3)/165*D8</f>
        <v>340.90909090909093</v>
      </c>
      <c r="F120" s="67">
        <f t="shared" si="5"/>
        <v>1295.4545454545455</v>
      </c>
    </row>
    <row r="121" spans="1:6">
      <c r="A121" s="10" t="s">
        <v>52</v>
      </c>
      <c r="B121" s="10" t="s">
        <v>53</v>
      </c>
      <c r="C121" s="40">
        <f>12.1212121212121*C8</f>
        <v>1696.969696969697</v>
      </c>
      <c r="D121" s="40">
        <f>12.1212121212121*D8</f>
        <v>606.06060606060498</v>
      </c>
      <c r="F121" s="66">
        <f t="shared" si="5"/>
        <v>2303.0303030303021</v>
      </c>
    </row>
    <row r="122" spans="1:6">
      <c r="B122" s="10" t="s">
        <v>242</v>
      </c>
      <c r="C122" s="39">
        <f>SUM(C108:C121)</f>
        <v>114645.08723599633</v>
      </c>
      <c r="D122" s="39">
        <f>SUM(D108:D121)</f>
        <v>45027.318640955004</v>
      </c>
      <c r="F122" s="57">
        <f>SUM(F108:F121)</f>
        <v>159672.40587695132</v>
      </c>
    </row>
    <row r="123" spans="1:6">
      <c r="C123" s="39"/>
      <c r="D123" s="39"/>
      <c r="F123" s="57"/>
    </row>
    <row r="124" spans="1:6">
      <c r="A124" s="10" t="s">
        <v>243</v>
      </c>
      <c r="C124" s="39"/>
      <c r="D124" s="39"/>
      <c r="F124" s="57"/>
    </row>
    <row r="125" spans="1:6">
      <c r="A125" s="10" t="s">
        <v>56</v>
      </c>
      <c r="B125" s="10" t="s">
        <v>246</v>
      </c>
      <c r="C125" s="39"/>
      <c r="D125" s="39"/>
      <c r="F125" s="67">
        <f t="shared" ref="F125:F132" si="6">SUM(C125:D125)</f>
        <v>0</v>
      </c>
    </row>
    <row r="126" spans="1:6">
      <c r="A126" s="10" t="s">
        <v>57</v>
      </c>
      <c r="B126" s="10" t="s">
        <v>247</v>
      </c>
      <c r="C126" s="39"/>
      <c r="D126" s="39"/>
      <c r="F126" s="67">
        <f t="shared" si="6"/>
        <v>0</v>
      </c>
    </row>
    <row r="127" spans="1:6">
      <c r="A127" s="10" t="s">
        <v>58</v>
      </c>
      <c r="B127" s="10" t="s">
        <v>248</v>
      </c>
      <c r="C127" s="39">
        <f>46.5454545454545*C8</f>
        <v>6516.3636363636369</v>
      </c>
      <c r="D127" s="39">
        <f>46.5454545454545*D8</f>
        <v>2327.2727272727248</v>
      </c>
      <c r="F127" s="67">
        <f t="shared" si="6"/>
        <v>8843.6363636363621</v>
      </c>
    </row>
    <row r="128" spans="1:6">
      <c r="A128" s="10" t="s">
        <v>55</v>
      </c>
      <c r="B128" s="10" t="s">
        <v>245</v>
      </c>
      <c r="C128" s="39"/>
      <c r="D128" s="39"/>
      <c r="F128" s="67">
        <f t="shared" si="6"/>
        <v>0</v>
      </c>
    </row>
    <row r="129" spans="1:6" ht="10.5" customHeight="1">
      <c r="A129" s="10" t="s">
        <v>54</v>
      </c>
      <c r="B129" s="10" t="s">
        <v>244</v>
      </c>
      <c r="C129" s="39"/>
      <c r="D129" s="39"/>
      <c r="F129" s="67">
        <f t="shared" si="6"/>
        <v>0</v>
      </c>
    </row>
    <row r="130" spans="1:6">
      <c r="A130" s="10" t="s">
        <v>60</v>
      </c>
      <c r="B130" s="10" t="s">
        <v>61</v>
      </c>
      <c r="C130" s="39"/>
      <c r="D130" s="39"/>
      <c r="F130" s="67">
        <f t="shared" si="6"/>
        <v>0</v>
      </c>
    </row>
    <row r="131" spans="1:6">
      <c r="A131" s="10" t="s">
        <v>448</v>
      </c>
      <c r="B131" s="10" t="s">
        <v>449</v>
      </c>
      <c r="C131" s="39"/>
      <c r="D131" s="39"/>
      <c r="F131" s="67">
        <f t="shared" si="6"/>
        <v>0</v>
      </c>
    </row>
    <row r="132" spans="1:6">
      <c r="A132" s="10" t="s">
        <v>62</v>
      </c>
      <c r="B132" s="10" t="s">
        <v>249</v>
      </c>
      <c r="C132" s="40"/>
      <c r="D132" s="40"/>
      <c r="F132" s="66">
        <f t="shared" si="6"/>
        <v>0</v>
      </c>
    </row>
    <row r="133" spans="1:6">
      <c r="B133" s="10" t="s">
        <v>250</v>
      </c>
      <c r="C133" s="39">
        <f>SUM(C125:C132)</f>
        <v>6516.3636363636369</v>
      </c>
      <c r="D133" s="39">
        <f>SUM(D125:D132)</f>
        <v>2327.2727272727248</v>
      </c>
      <c r="F133" s="57">
        <f>SUM(F125:F132)</f>
        <v>8843.6363636363621</v>
      </c>
    </row>
    <row r="134" spans="1:6">
      <c r="C134" s="39"/>
      <c r="D134" s="39"/>
      <c r="F134" s="57"/>
    </row>
    <row r="135" spans="1:6">
      <c r="A135" s="10" t="s">
        <v>251</v>
      </c>
      <c r="C135" s="39"/>
      <c r="D135" s="39"/>
      <c r="F135" s="57"/>
    </row>
    <row r="136" spans="1:6">
      <c r="A136" s="10" t="s">
        <v>252</v>
      </c>
      <c r="C136" s="39"/>
      <c r="D136" s="39"/>
      <c r="F136" s="57"/>
    </row>
    <row r="137" spans="1:6">
      <c r="A137" s="10" t="s">
        <v>63</v>
      </c>
      <c r="B137" s="10" t="s">
        <v>253</v>
      </c>
      <c r="C137" s="39"/>
      <c r="D137" s="39"/>
      <c r="F137" s="67">
        <f>SUM(C137:D137)</f>
        <v>0</v>
      </c>
    </row>
    <row r="138" spans="1:6">
      <c r="A138" s="10" t="s">
        <v>64</v>
      </c>
      <c r="B138" s="10" t="s">
        <v>254</v>
      </c>
      <c r="C138" s="39"/>
      <c r="D138" s="39"/>
      <c r="F138" s="67">
        <f>SUM(C138:D138)</f>
        <v>0</v>
      </c>
    </row>
    <row r="139" spans="1:6">
      <c r="A139" s="10" t="s">
        <v>454</v>
      </c>
      <c r="B139" s="10" t="s">
        <v>455</v>
      </c>
      <c r="C139" s="39"/>
      <c r="D139" s="39"/>
      <c r="F139" s="67">
        <f>SUM(C139:D139)</f>
        <v>0</v>
      </c>
    </row>
    <row r="140" spans="1:6">
      <c r="A140" s="10" t="s">
        <v>65</v>
      </c>
      <c r="B140" s="10" t="s">
        <v>255</v>
      </c>
      <c r="C140" s="40"/>
      <c r="D140" s="40"/>
      <c r="F140" s="66">
        <f>SUM(C140:D140)</f>
        <v>0</v>
      </c>
    </row>
    <row r="141" spans="1:6">
      <c r="B141" s="10" t="s">
        <v>256</v>
      </c>
      <c r="C141" s="39">
        <f>SUM(C137:C140)</f>
        <v>0</v>
      </c>
      <c r="D141" s="39">
        <f>SUM(D137:D140)</f>
        <v>0</v>
      </c>
      <c r="F141" s="57">
        <f>SUM(F137:F140)</f>
        <v>0</v>
      </c>
    </row>
    <row r="142" spans="1:6">
      <c r="C142" s="39"/>
      <c r="D142" s="39"/>
      <c r="F142" s="57"/>
    </row>
    <row r="143" spans="1:6">
      <c r="A143" s="10" t="s">
        <v>257</v>
      </c>
      <c r="C143" s="39"/>
      <c r="D143" s="39"/>
      <c r="F143" s="57"/>
    </row>
    <row r="144" spans="1:6">
      <c r="A144" s="10" t="s">
        <v>66</v>
      </c>
      <c r="B144" s="10" t="s">
        <v>258</v>
      </c>
      <c r="C144" s="39"/>
      <c r="D144" s="39"/>
      <c r="F144" s="67">
        <f t="shared" ref="F144:F149" si="7">SUM(C144:D144)</f>
        <v>0</v>
      </c>
    </row>
    <row r="145" spans="1:6">
      <c r="A145" s="10" t="s">
        <v>67</v>
      </c>
      <c r="B145" s="10" t="s">
        <v>259</v>
      </c>
      <c r="C145" s="39"/>
      <c r="D145" s="39"/>
      <c r="F145" s="67">
        <f t="shared" si="7"/>
        <v>0</v>
      </c>
    </row>
    <row r="146" spans="1:6">
      <c r="A146" s="10" t="s">
        <v>68</v>
      </c>
      <c r="B146" s="10" t="s">
        <v>260</v>
      </c>
      <c r="C146" s="39"/>
      <c r="D146" s="39"/>
      <c r="F146" s="67">
        <f t="shared" si="7"/>
        <v>0</v>
      </c>
    </row>
    <row r="147" spans="1:6">
      <c r="A147" s="10" t="s">
        <v>69</v>
      </c>
      <c r="B147" s="10" t="s">
        <v>261</v>
      </c>
      <c r="C147" s="39"/>
      <c r="D147" s="39"/>
      <c r="F147" s="67">
        <f t="shared" si="7"/>
        <v>0</v>
      </c>
    </row>
    <row r="148" spans="1:6" ht="12" customHeight="1">
      <c r="A148" s="10" t="s">
        <v>70</v>
      </c>
      <c r="B148" s="10" t="s">
        <v>262</v>
      </c>
      <c r="C148" s="39"/>
      <c r="D148" s="39"/>
      <c r="F148" s="67">
        <f t="shared" si="7"/>
        <v>0</v>
      </c>
    </row>
    <row r="149" spans="1:6">
      <c r="A149" s="10" t="s">
        <v>462</v>
      </c>
      <c r="B149" s="10" t="s">
        <v>464</v>
      </c>
      <c r="C149" s="40"/>
      <c r="D149" s="40"/>
      <c r="F149" s="66">
        <f t="shared" si="7"/>
        <v>0</v>
      </c>
    </row>
    <row r="150" spans="1:6">
      <c r="B150" s="10" t="s">
        <v>263</v>
      </c>
      <c r="C150" s="39">
        <f>SUM(C144:C149)</f>
        <v>0</v>
      </c>
      <c r="D150" s="39">
        <f>SUM(D144:D149)</f>
        <v>0</v>
      </c>
      <c r="F150" s="57">
        <f>SUM(F144:F149)</f>
        <v>0</v>
      </c>
    </row>
    <row r="151" spans="1:6">
      <c r="C151" s="39"/>
      <c r="D151" s="39"/>
      <c r="F151" s="57"/>
    </row>
    <row r="152" spans="1:6">
      <c r="A152" s="10" t="s">
        <v>264</v>
      </c>
      <c r="C152" s="39"/>
      <c r="D152" s="39"/>
      <c r="F152" s="57"/>
    </row>
    <row r="153" spans="1:6">
      <c r="A153" s="10" t="s">
        <v>265</v>
      </c>
      <c r="C153" s="39"/>
      <c r="D153" s="39"/>
      <c r="F153" s="57"/>
    </row>
    <row r="154" spans="1:6">
      <c r="A154" s="10" t="s">
        <v>71</v>
      </c>
      <c r="B154" s="10" t="s">
        <v>72</v>
      </c>
      <c r="C154" s="40">
        <f>6.06060606060606*C8</f>
        <v>848.4848484848485</v>
      </c>
      <c r="D154" s="40">
        <f>6.06060606060606*D8</f>
        <v>303.030303030303</v>
      </c>
      <c r="F154" s="66">
        <f>SUM(C154:D154)</f>
        <v>1151.5151515151515</v>
      </c>
    </row>
    <row r="155" spans="1:6">
      <c r="B155" s="10" t="s">
        <v>266</v>
      </c>
      <c r="C155" s="39">
        <f>SUM(C154)</f>
        <v>848.4848484848485</v>
      </c>
      <c r="D155" s="39">
        <f>SUM(D154)</f>
        <v>303.030303030303</v>
      </c>
      <c r="F155" s="57">
        <f>SUM(F154)</f>
        <v>1151.5151515151515</v>
      </c>
    </row>
    <row r="156" spans="1:6">
      <c r="C156" s="39"/>
      <c r="D156" s="39"/>
      <c r="F156" s="57"/>
    </row>
    <row r="157" spans="1:6">
      <c r="A157" s="10" t="s">
        <v>267</v>
      </c>
      <c r="C157" s="39"/>
      <c r="D157" s="39"/>
      <c r="F157" s="57"/>
    </row>
    <row r="158" spans="1:6">
      <c r="A158" s="10" t="s">
        <v>73</v>
      </c>
      <c r="B158" s="10" t="s">
        <v>74</v>
      </c>
      <c r="C158" s="39">
        <f>10771/165*C8</f>
        <v>9139.0303030303039</v>
      </c>
      <c r="D158" s="39">
        <f>10771/165*D8</f>
        <v>3263.939393939394</v>
      </c>
      <c r="F158" s="67">
        <f t="shared" ref="F158:F170" si="8">SUM(C158:D158)</f>
        <v>12402.969696969698</v>
      </c>
    </row>
    <row r="159" spans="1:6">
      <c r="A159" s="10" t="s">
        <v>75</v>
      </c>
      <c r="B159" s="10" t="s">
        <v>154</v>
      </c>
      <c r="C159" s="39"/>
      <c r="D159" s="39"/>
      <c r="F159" s="67">
        <f t="shared" si="8"/>
        <v>0</v>
      </c>
    </row>
    <row r="160" spans="1:6">
      <c r="A160" s="10" t="s">
        <v>456</v>
      </c>
      <c r="B160" s="10" t="s">
        <v>97</v>
      </c>
      <c r="C160" s="39"/>
      <c r="D160" s="39"/>
      <c r="F160" s="67">
        <f t="shared" si="8"/>
        <v>0</v>
      </c>
    </row>
    <row r="161" spans="1:6">
      <c r="A161" s="10" t="s">
        <v>457</v>
      </c>
      <c r="B161" s="10" t="s">
        <v>458</v>
      </c>
      <c r="C161" s="39"/>
      <c r="D161" s="39"/>
      <c r="F161" s="67">
        <f t="shared" si="8"/>
        <v>0</v>
      </c>
    </row>
    <row r="162" spans="1:6">
      <c r="A162" s="10" t="s">
        <v>459</v>
      </c>
      <c r="B162" s="10" t="s">
        <v>460</v>
      </c>
      <c r="C162" s="39"/>
      <c r="D162" s="39"/>
      <c r="F162" s="67">
        <f t="shared" si="8"/>
        <v>0</v>
      </c>
    </row>
    <row r="163" spans="1:6">
      <c r="A163" s="10" t="s">
        <v>452</v>
      </c>
      <c r="B163" s="10" t="s">
        <v>453</v>
      </c>
      <c r="C163" s="39"/>
      <c r="D163" s="39"/>
      <c r="F163" s="67">
        <f t="shared" si="8"/>
        <v>0</v>
      </c>
    </row>
    <row r="164" spans="1:6">
      <c r="A164" s="10" t="s">
        <v>76</v>
      </c>
      <c r="B164" s="10" t="s">
        <v>155</v>
      </c>
      <c r="C164" s="39">
        <f>SUM(1600*9)/165*C8</f>
        <v>12218.181818181818</v>
      </c>
      <c r="D164" s="39">
        <f>SUM(1600*9)/165*D8</f>
        <v>4363.6363636363631</v>
      </c>
      <c r="F164" s="67">
        <f t="shared" si="8"/>
        <v>16581.81818181818</v>
      </c>
    </row>
    <row r="165" spans="1:6">
      <c r="A165" s="10" t="s">
        <v>79</v>
      </c>
      <c r="B165" s="10" t="s">
        <v>156</v>
      </c>
      <c r="C165" s="39"/>
      <c r="D165" s="39"/>
      <c r="F165" s="67">
        <f t="shared" si="8"/>
        <v>0</v>
      </c>
    </row>
    <row r="166" spans="1:6">
      <c r="A166" s="10" t="s">
        <v>78</v>
      </c>
      <c r="B166" s="10" t="s">
        <v>157</v>
      </c>
      <c r="C166" s="39"/>
      <c r="D166" s="39"/>
      <c r="F166" s="67">
        <f t="shared" si="8"/>
        <v>0</v>
      </c>
    </row>
    <row r="167" spans="1:6">
      <c r="A167" s="10" t="s">
        <v>77</v>
      </c>
      <c r="B167" s="10" t="s">
        <v>158</v>
      </c>
      <c r="C167" s="39"/>
      <c r="D167" s="39"/>
      <c r="F167" s="67">
        <f t="shared" si="8"/>
        <v>0</v>
      </c>
    </row>
    <row r="168" spans="1:6">
      <c r="A168" s="10" t="s">
        <v>80</v>
      </c>
      <c r="B168" s="10" t="s">
        <v>159</v>
      </c>
      <c r="C168" s="39"/>
      <c r="D168" s="39"/>
      <c r="F168" s="67">
        <f t="shared" si="8"/>
        <v>0</v>
      </c>
    </row>
    <row r="169" spans="1:6">
      <c r="A169" s="10" t="s">
        <v>81</v>
      </c>
      <c r="B169" s="10" t="s">
        <v>160</v>
      </c>
      <c r="C169" s="39"/>
      <c r="D169" s="39"/>
      <c r="F169" s="67">
        <f t="shared" si="8"/>
        <v>0</v>
      </c>
    </row>
    <row r="170" spans="1:6">
      <c r="A170" s="10" t="s">
        <v>161</v>
      </c>
      <c r="B170" s="10" t="s">
        <v>162</v>
      </c>
      <c r="C170" s="40"/>
      <c r="D170" s="40"/>
      <c r="F170" s="66">
        <f t="shared" si="8"/>
        <v>0</v>
      </c>
    </row>
    <row r="171" spans="1:6">
      <c r="B171" s="10" t="s">
        <v>163</v>
      </c>
      <c r="C171" s="39">
        <f>SUM(C158:C170)</f>
        <v>21357.21212121212</v>
      </c>
      <c r="D171" s="39">
        <f>SUM(D158:D170)</f>
        <v>7627.5757575757571</v>
      </c>
      <c r="F171" s="57">
        <f>SUM(F158:F170)</f>
        <v>28984.78787878788</v>
      </c>
    </row>
    <row r="172" spans="1:6">
      <c r="C172" s="39"/>
      <c r="D172" s="39"/>
      <c r="F172" s="57"/>
    </row>
    <row r="173" spans="1:6">
      <c r="A173" s="10" t="s">
        <v>164</v>
      </c>
      <c r="C173" s="39"/>
      <c r="D173" s="39"/>
      <c r="F173" s="57"/>
    </row>
    <row r="174" spans="1:6">
      <c r="A174" s="10" t="s">
        <v>165</v>
      </c>
      <c r="C174" s="39"/>
      <c r="D174" s="39"/>
      <c r="F174" s="57"/>
    </row>
    <row r="175" spans="1:6">
      <c r="A175" s="10" t="s">
        <v>86</v>
      </c>
      <c r="B175" s="10" t="s">
        <v>85</v>
      </c>
      <c r="C175" s="39"/>
      <c r="D175" s="39"/>
      <c r="F175" s="67">
        <f t="shared" ref="F175:F185" si="9">SUM(C175:D175)</f>
        <v>0</v>
      </c>
    </row>
    <row r="176" spans="1:6">
      <c r="A176" s="10" t="s">
        <v>91</v>
      </c>
      <c r="B176" s="10" t="s">
        <v>92</v>
      </c>
      <c r="C176" s="39"/>
      <c r="D176" s="39"/>
      <c r="F176" s="67">
        <f t="shared" si="9"/>
        <v>0</v>
      </c>
    </row>
    <row r="177" spans="1:6">
      <c r="A177" s="10" t="s">
        <v>93</v>
      </c>
      <c r="B177" s="10" t="s">
        <v>94</v>
      </c>
      <c r="C177" s="39"/>
      <c r="D177" s="39"/>
      <c r="F177" s="67">
        <f t="shared" si="9"/>
        <v>0</v>
      </c>
    </row>
    <row r="178" spans="1:6">
      <c r="A178" s="10" t="s">
        <v>95</v>
      </c>
      <c r="B178" s="10" t="s">
        <v>432</v>
      </c>
      <c r="C178" s="39"/>
      <c r="D178" s="39"/>
      <c r="F178" s="67">
        <f t="shared" si="9"/>
        <v>0</v>
      </c>
    </row>
    <row r="179" spans="1:6">
      <c r="A179" s="10" t="s">
        <v>96</v>
      </c>
      <c r="B179" s="10" t="s">
        <v>431</v>
      </c>
      <c r="C179" s="39"/>
      <c r="D179" s="39"/>
      <c r="F179" s="67">
        <f t="shared" si="9"/>
        <v>0</v>
      </c>
    </row>
    <row r="180" spans="1:6">
      <c r="A180" s="10" t="s">
        <v>98</v>
      </c>
      <c r="B180" s="10" t="s">
        <v>99</v>
      </c>
      <c r="C180" s="39"/>
      <c r="D180" s="39"/>
      <c r="F180" s="67">
        <f t="shared" si="9"/>
        <v>0</v>
      </c>
    </row>
    <row r="181" spans="1:6">
      <c r="A181" s="10" t="s">
        <v>100</v>
      </c>
      <c r="B181" s="10" t="s">
        <v>287</v>
      </c>
      <c r="C181" s="39">
        <f>1196.25/165*C8</f>
        <v>1015</v>
      </c>
      <c r="D181" s="39">
        <f>1196.25/165*D8</f>
        <v>362.5</v>
      </c>
      <c r="F181" s="67">
        <f t="shared" si="9"/>
        <v>1377.5</v>
      </c>
    </row>
    <row r="182" spans="1:6">
      <c r="A182" s="10" t="s">
        <v>101</v>
      </c>
      <c r="B182" s="10" t="s">
        <v>102</v>
      </c>
      <c r="C182" s="39"/>
      <c r="D182" s="39"/>
      <c r="F182" s="67">
        <f t="shared" si="9"/>
        <v>0</v>
      </c>
    </row>
    <row r="183" spans="1:6">
      <c r="A183" s="10" t="s">
        <v>105</v>
      </c>
      <c r="B183" s="10" t="s">
        <v>167</v>
      </c>
      <c r="C183" s="39"/>
      <c r="D183" s="39"/>
      <c r="F183" s="67">
        <f t="shared" si="9"/>
        <v>0</v>
      </c>
    </row>
    <row r="184" spans="1:6">
      <c r="A184" s="10" t="s">
        <v>106</v>
      </c>
      <c r="B184" s="10" t="s">
        <v>107</v>
      </c>
      <c r="C184" s="39"/>
      <c r="D184" s="39"/>
      <c r="F184" s="67">
        <f t="shared" si="9"/>
        <v>0</v>
      </c>
    </row>
    <row r="185" spans="1:6">
      <c r="A185" s="10" t="s">
        <v>465</v>
      </c>
      <c r="B185" s="10" t="s">
        <v>466</v>
      </c>
      <c r="C185" s="40"/>
      <c r="D185" s="40"/>
      <c r="F185" s="66">
        <f t="shared" si="9"/>
        <v>0</v>
      </c>
    </row>
    <row r="186" spans="1:6">
      <c r="B186" s="10" t="s">
        <v>168</v>
      </c>
      <c r="C186" s="39">
        <f>SUM(C175:C185)</f>
        <v>1015</v>
      </c>
      <c r="D186" s="39">
        <f>SUM(D175:D185)</f>
        <v>362.5</v>
      </c>
      <c r="F186" s="57">
        <f>SUM(F175:F185)</f>
        <v>1377.5</v>
      </c>
    </row>
    <row r="187" spans="1:6">
      <c r="C187" s="39"/>
      <c r="D187" s="39"/>
      <c r="F187" s="57"/>
    </row>
    <row r="188" spans="1:6" s="4" customFormat="1" ht="10.5">
      <c r="A188" s="14"/>
      <c r="B188" s="14" t="s">
        <v>169</v>
      </c>
      <c r="C188" s="41">
        <f>SUM(C122+C133+C141+C150+C155+C171+C186)</f>
        <v>144382.14784205693</v>
      </c>
      <c r="D188" s="41">
        <f>SUM(D122+D133+D141+D150+D155+D171+D186)</f>
        <v>55647.697428833795</v>
      </c>
      <c r="F188" s="41">
        <f>SUM(F122+F133+F141+F150+F155+F171+F186)</f>
        <v>200029.84527089068</v>
      </c>
    </row>
    <row r="189" spans="1:6">
      <c r="C189" s="39"/>
      <c r="D189" s="39"/>
      <c r="F189" s="57"/>
    </row>
    <row r="190" spans="1:6">
      <c r="C190" s="39"/>
      <c r="D190" s="39"/>
      <c r="F190" s="41">
        <f>SUM(F104+F188)</f>
        <v>261514.33769513312</v>
      </c>
    </row>
    <row r="191" spans="1:6" s="4" customFormat="1">
      <c r="A191" s="10"/>
      <c r="B191" s="10"/>
      <c r="C191" s="39"/>
      <c r="D191" s="39"/>
      <c r="F191" s="41"/>
    </row>
    <row r="192" spans="1:6">
      <c r="A192" s="14">
        <f>+SUM(C192:D192)</f>
        <v>60417.480486685025</v>
      </c>
      <c r="B192" s="14" t="s">
        <v>170</v>
      </c>
      <c r="C192" s="41">
        <f>+C68-C104-C188</f>
        <v>72389.566400367301</v>
      </c>
      <c r="D192" s="41">
        <f>+D68-D104-D188</f>
        <v>-11972.085913682276</v>
      </c>
      <c r="F192" s="41">
        <f>+F68-F104-F188</f>
        <v>60417.480486685061</v>
      </c>
    </row>
    <row r="193" spans="6:6">
      <c r="F193" s="57"/>
    </row>
    <row r="194" spans="6:6">
      <c r="F194" s="57"/>
    </row>
  </sheetData>
  <phoneticPr fontId="3" type="noConversion"/>
  <pageMargins left="0.75" right="0.75" top="1.45" bottom="0.44" header="0.17" footer="0.17"/>
  <pageSetup orientation="portrait" r:id="rId1"/>
  <headerFooter alignWithMargins="0">
    <oddHeader>&amp;C&amp;"MS Sans Serif,Bold"&amp;18ISL
BUDGET '12-2013
21ST CENTURY LEARNING PROGRAM
&amp;A</oddHeader>
    <oddFooter>&amp;L&amp;6&amp;Z&amp;F&amp;R&amp;P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19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8" sqref="B18"/>
    </sheetView>
  </sheetViews>
  <sheetFormatPr defaultColWidth="11.42578125" defaultRowHeight="11.25"/>
  <cols>
    <col min="1" max="1" width="16.85546875" style="10" customWidth="1"/>
    <col min="2" max="2" width="26.85546875" style="10" customWidth="1"/>
    <col min="3" max="6" width="11.42578125" style="1"/>
    <col min="7" max="7" width="11.42578125" style="4"/>
    <col min="8" max="16384" width="11.42578125" style="1"/>
  </cols>
  <sheetData>
    <row r="5" spans="1:7">
      <c r="B5" s="11"/>
    </row>
    <row r="7" spans="1:7" s="8" customFormat="1">
      <c r="A7" s="12"/>
      <c r="B7" s="12" t="s">
        <v>371</v>
      </c>
      <c r="C7" s="62">
        <v>1</v>
      </c>
      <c r="D7" s="62">
        <v>1</v>
      </c>
      <c r="E7" s="62">
        <v>1</v>
      </c>
      <c r="G7" s="93"/>
    </row>
    <row r="9" spans="1:7">
      <c r="C9" s="1" t="s">
        <v>850</v>
      </c>
      <c r="D9" s="1" t="s">
        <v>848</v>
      </c>
      <c r="E9" s="1" t="s">
        <v>849</v>
      </c>
    </row>
    <row r="10" spans="1:7" s="7" customFormat="1">
      <c r="A10" s="13"/>
      <c r="B10" s="13" t="s">
        <v>174</v>
      </c>
      <c r="C10" s="7">
        <v>2322</v>
      </c>
      <c r="D10" s="7">
        <v>2322</v>
      </c>
      <c r="E10" s="7">
        <v>2322</v>
      </c>
      <c r="G10" s="94"/>
    </row>
    <row r="11" spans="1:7">
      <c r="A11" s="10" t="s">
        <v>271</v>
      </c>
    </row>
    <row r="12" spans="1:7">
      <c r="A12" s="10" t="s">
        <v>272</v>
      </c>
    </row>
    <row r="13" spans="1:7">
      <c r="A13" s="10" t="s">
        <v>171</v>
      </c>
      <c r="B13" s="10" t="s">
        <v>273</v>
      </c>
      <c r="C13" s="39">
        <v>40000</v>
      </c>
      <c r="D13" s="39"/>
      <c r="E13" s="39"/>
      <c r="F13" s="9"/>
      <c r="G13" s="41">
        <f>+SUM(C13:E13)</f>
        <v>40000</v>
      </c>
    </row>
    <row r="14" spans="1:7">
      <c r="A14" s="10" t="s">
        <v>172</v>
      </c>
      <c r="B14" s="10" t="s">
        <v>274</v>
      </c>
      <c r="C14" s="39"/>
      <c r="D14" s="39">
        <v>65000</v>
      </c>
      <c r="E14" s="39"/>
      <c r="F14" s="16" t="s">
        <v>425</v>
      </c>
      <c r="G14" s="41">
        <f t="shared" ref="G14:G77" si="0">+SUM(C14:E14)</f>
        <v>65000</v>
      </c>
    </row>
    <row r="15" spans="1:7">
      <c r="A15" s="10" t="s">
        <v>173</v>
      </c>
      <c r="B15" s="10" t="s">
        <v>275</v>
      </c>
      <c r="C15" s="39"/>
      <c r="D15" s="39">
        <v>5000</v>
      </c>
      <c r="E15" s="39"/>
      <c r="G15" s="41">
        <f t="shared" si="0"/>
        <v>5000</v>
      </c>
    </row>
    <row r="16" spans="1:7">
      <c r="A16" s="10" t="s">
        <v>194</v>
      </c>
      <c r="B16" s="10" t="s">
        <v>276</v>
      </c>
      <c r="C16" s="39"/>
      <c r="D16" s="39"/>
      <c r="E16" s="39"/>
      <c r="G16" s="41">
        <f t="shared" si="0"/>
        <v>0</v>
      </c>
    </row>
    <row r="17" spans="1:8">
      <c r="A17" s="10" t="s">
        <v>195</v>
      </c>
      <c r="B17" s="10" t="s">
        <v>277</v>
      </c>
      <c r="C17" s="39"/>
      <c r="D17" s="39"/>
      <c r="E17" s="39"/>
      <c r="G17" s="41">
        <f t="shared" si="0"/>
        <v>0</v>
      </c>
    </row>
    <row r="18" spans="1:8">
      <c r="A18" s="10" t="s">
        <v>196</v>
      </c>
      <c r="B18" s="10" t="s">
        <v>278</v>
      </c>
      <c r="C18" s="39"/>
      <c r="D18" s="39"/>
      <c r="E18" s="39"/>
      <c r="G18" s="41">
        <f t="shared" si="0"/>
        <v>0</v>
      </c>
    </row>
    <row r="19" spans="1:8">
      <c r="A19" s="10" t="s">
        <v>197</v>
      </c>
      <c r="B19" s="10" t="s">
        <v>279</v>
      </c>
      <c r="C19" s="39"/>
      <c r="D19" s="39"/>
      <c r="E19" s="39"/>
      <c r="G19" s="41">
        <f t="shared" si="0"/>
        <v>0</v>
      </c>
    </row>
    <row r="20" spans="1:8">
      <c r="A20" s="10" t="s">
        <v>198</v>
      </c>
      <c r="B20" s="10" t="s">
        <v>280</v>
      </c>
      <c r="C20" s="39"/>
      <c r="D20" s="39"/>
      <c r="E20" s="39"/>
      <c r="G20" s="41">
        <f t="shared" si="0"/>
        <v>0</v>
      </c>
    </row>
    <row r="21" spans="1:8">
      <c r="A21" s="10" t="s">
        <v>199</v>
      </c>
      <c r="B21" s="10" t="s">
        <v>281</v>
      </c>
      <c r="C21" s="39"/>
      <c r="D21" s="39"/>
      <c r="E21" s="39"/>
      <c r="G21" s="41">
        <f t="shared" si="0"/>
        <v>0</v>
      </c>
    </row>
    <row r="22" spans="1:8">
      <c r="A22" s="10" t="s">
        <v>200</v>
      </c>
      <c r="B22" s="10" t="s">
        <v>282</v>
      </c>
      <c r="C22" s="39"/>
      <c r="D22" s="39"/>
      <c r="E22" s="39"/>
      <c r="G22" s="41">
        <f t="shared" si="0"/>
        <v>0</v>
      </c>
    </row>
    <row r="23" spans="1:8">
      <c r="A23" s="10" t="s">
        <v>201</v>
      </c>
      <c r="B23" s="10" t="s">
        <v>283</v>
      </c>
      <c r="C23" s="39"/>
      <c r="D23" s="39"/>
      <c r="E23" s="39"/>
      <c r="G23" s="41">
        <f t="shared" si="0"/>
        <v>0</v>
      </c>
    </row>
    <row r="24" spans="1:8">
      <c r="A24" s="10" t="s">
        <v>202</v>
      </c>
      <c r="B24" s="10" t="s">
        <v>284</v>
      </c>
      <c r="C24" s="39"/>
      <c r="D24" s="39"/>
      <c r="E24" s="39"/>
      <c r="G24" s="41">
        <f t="shared" si="0"/>
        <v>0</v>
      </c>
    </row>
    <row r="25" spans="1:8">
      <c r="A25" s="10" t="s">
        <v>203</v>
      </c>
      <c r="B25" s="10" t="s">
        <v>285</v>
      </c>
      <c r="C25" s="39"/>
      <c r="D25" s="39"/>
      <c r="E25" s="39"/>
      <c r="G25" s="41">
        <f t="shared" si="0"/>
        <v>0</v>
      </c>
    </row>
    <row r="26" spans="1:8">
      <c r="A26" s="10" t="s">
        <v>204</v>
      </c>
      <c r="B26" s="10" t="s">
        <v>286</v>
      </c>
      <c r="C26" s="39"/>
      <c r="D26" s="39"/>
      <c r="E26" s="39"/>
      <c r="G26" s="41">
        <f t="shared" si="0"/>
        <v>0</v>
      </c>
    </row>
    <row r="27" spans="1:8">
      <c r="A27" s="10" t="s">
        <v>205</v>
      </c>
      <c r="B27" s="10" t="s">
        <v>287</v>
      </c>
      <c r="C27" s="39"/>
      <c r="D27" s="39"/>
      <c r="E27" s="39"/>
      <c r="G27" s="41">
        <f t="shared" si="0"/>
        <v>0</v>
      </c>
    </row>
    <row r="28" spans="1:8">
      <c r="A28" s="10" t="s">
        <v>206</v>
      </c>
      <c r="B28" s="10" t="s">
        <v>288</v>
      </c>
      <c r="C28" s="39"/>
      <c r="D28" s="39"/>
      <c r="E28" s="39"/>
      <c r="G28" s="41">
        <f t="shared" si="0"/>
        <v>0</v>
      </c>
      <c r="H28" s="26"/>
    </row>
    <row r="29" spans="1:8">
      <c r="A29" s="10" t="s">
        <v>207</v>
      </c>
      <c r="B29" s="10" t="s">
        <v>289</v>
      </c>
      <c r="C29" s="39"/>
      <c r="D29" s="39"/>
      <c r="E29" s="39"/>
      <c r="G29" s="41">
        <f t="shared" si="0"/>
        <v>0</v>
      </c>
      <c r="H29" s="26"/>
    </row>
    <row r="30" spans="1:8">
      <c r="A30" s="10" t="s">
        <v>209</v>
      </c>
      <c r="B30" s="10" t="s">
        <v>290</v>
      </c>
      <c r="C30" s="39"/>
      <c r="D30" s="39"/>
      <c r="E30" s="39"/>
      <c r="G30" s="41">
        <f t="shared" si="0"/>
        <v>0</v>
      </c>
      <c r="H30" s="26"/>
    </row>
    <row r="31" spans="1:8">
      <c r="A31" s="10" t="s">
        <v>208</v>
      </c>
      <c r="B31" s="10" t="s">
        <v>291</v>
      </c>
      <c r="C31" s="39"/>
      <c r="D31" s="39"/>
      <c r="E31" s="39"/>
      <c r="G31" s="41">
        <f t="shared" si="0"/>
        <v>0</v>
      </c>
      <c r="H31" s="26"/>
    </row>
    <row r="32" spans="1:8">
      <c r="A32" s="10" t="s">
        <v>210</v>
      </c>
      <c r="B32" s="10" t="s">
        <v>211</v>
      </c>
      <c r="C32" s="39"/>
      <c r="D32" s="39"/>
      <c r="E32" s="39"/>
      <c r="G32" s="41">
        <f t="shared" si="0"/>
        <v>0</v>
      </c>
      <c r="H32" s="26"/>
    </row>
    <row r="33" spans="1:8">
      <c r="A33" s="10" t="s">
        <v>214</v>
      </c>
      <c r="B33" s="10" t="s">
        <v>215</v>
      </c>
      <c r="C33" s="39"/>
      <c r="D33" s="39">
        <v>50000</v>
      </c>
      <c r="E33" s="39"/>
      <c r="F33" s="16"/>
      <c r="G33" s="41">
        <f t="shared" si="0"/>
        <v>50000</v>
      </c>
      <c r="H33" s="27"/>
    </row>
    <row r="34" spans="1:8">
      <c r="A34" s="10" t="s">
        <v>213</v>
      </c>
      <c r="B34" s="10" t="s">
        <v>292</v>
      </c>
      <c r="C34" s="39"/>
      <c r="D34" s="39"/>
      <c r="E34" s="39"/>
      <c r="G34" s="41">
        <f t="shared" si="0"/>
        <v>0</v>
      </c>
      <c r="H34" s="26"/>
    </row>
    <row r="35" spans="1:8">
      <c r="A35" s="10" t="s">
        <v>212</v>
      </c>
      <c r="B35" s="10" t="s">
        <v>293</v>
      </c>
      <c r="C35" s="39"/>
      <c r="D35" s="39"/>
      <c r="E35" s="39"/>
      <c r="G35" s="41">
        <f t="shared" si="0"/>
        <v>0</v>
      </c>
      <c r="H35" s="26"/>
    </row>
    <row r="36" spans="1:8">
      <c r="A36" s="10" t="s">
        <v>216</v>
      </c>
      <c r="B36" s="10" t="s">
        <v>294</v>
      </c>
      <c r="C36" s="39"/>
      <c r="D36" s="39"/>
      <c r="E36" s="39"/>
      <c r="G36" s="41">
        <f t="shared" si="0"/>
        <v>0</v>
      </c>
      <c r="H36" s="26"/>
    </row>
    <row r="37" spans="1:8">
      <c r="A37" s="10" t="s">
        <v>217</v>
      </c>
      <c r="B37" s="10" t="s">
        <v>295</v>
      </c>
      <c r="C37" s="40"/>
      <c r="D37" s="40"/>
      <c r="E37" s="40"/>
      <c r="G37" s="41">
        <f t="shared" si="0"/>
        <v>0</v>
      </c>
      <c r="H37" s="26"/>
    </row>
    <row r="38" spans="1:8">
      <c r="B38" s="10" t="s">
        <v>296</v>
      </c>
      <c r="C38" s="39">
        <f>SUM(C13:C37)</f>
        <v>40000</v>
      </c>
      <c r="D38" s="39">
        <f>SUM(D13:D37)</f>
        <v>120000</v>
      </c>
      <c r="E38" s="39">
        <f>SUM(E13:E37)</f>
        <v>0</v>
      </c>
      <c r="G38" s="41">
        <f t="shared" si="0"/>
        <v>160000</v>
      </c>
      <c r="H38" s="26"/>
    </row>
    <row r="39" spans="1:8">
      <c r="C39" s="39"/>
      <c r="D39" s="39"/>
      <c r="E39" s="39"/>
      <c r="G39" s="41">
        <f t="shared" si="0"/>
        <v>0</v>
      </c>
      <c r="H39" s="26"/>
    </row>
    <row r="40" spans="1:8">
      <c r="A40" s="10" t="s">
        <v>297</v>
      </c>
      <c r="C40" s="39"/>
      <c r="D40" s="39"/>
      <c r="E40" s="39"/>
      <c r="G40" s="41">
        <f t="shared" si="0"/>
        <v>0</v>
      </c>
      <c r="H40" s="26"/>
    </row>
    <row r="41" spans="1:8">
      <c r="A41" s="10" t="s">
        <v>218</v>
      </c>
      <c r="B41" s="10" t="s">
        <v>298</v>
      </c>
      <c r="C41" s="39"/>
      <c r="D41" s="39"/>
      <c r="E41" s="39"/>
      <c r="G41" s="41">
        <f t="shared" si="0"/>
        <v>0</v>
      </c>
      <c r="H41" s="26"/>
    </row>
    <row r="42" spans="1:8">
      <c r="A42" s="10" t="s">
        <v>219</v>
      </c>
      <c r="B42" s="10" t="s">
        <v>220</v>
      </c>
      <c r="C42" s="39"/>
      <c r="D42" s="39"/>
      <c r="E42" s="39"/>
      <c r="G42" s="41">
        <f t="shared" si="0"/>
        <v>0</v>
      </c>
    </row>
    <row r="43" spans="1:8">
      <c r="A43" s="10" t="s">
        <v>221</v>
      </c>
      <c r="B43" s="10" t="s">
        <v>222</v>
      </c>
      <c r="C43" s="39"/>
      <c r="D43" s="39"/>
      <c r="E43" s="39"/>
      <c r="G43" s="41">
        <f t="shared" si="0"/>
        <v>0</v>
      </c>
    </row>
    <row r="44" spans="1:8">
      <c r="A44" s="10" t="s">
        <v>223</v>
      </c>
      <c r="B44" s="10" t="s">
        <v>299</v>
      </c>
      <c r="C44" s="39"/>
      <c r="D44" s="39"/>
      <c r="E44" s="39"/>
      <c r="G44" s="41">
        <f t="shared" si="0"/>
        <v>0</v>
      </c>
    </row>
    <row r="45" spans="1:8">
      <c r="A45" s="10" t="s">
        <v>224</v>
      </c>
      <c r="B45" s="10" t="s">
        <v>225</v>
      </c>
      <c r="C45" s="39"/>
      <c r="D45" s="39"/>
      <c r="E45" s="39"/>
      <c r="G45" s="41">
        <f t="shared" si="0"/>
        <v>0</v>
      </c>
    </row>
    <row r="46" spans="1:8">
      <c r="A46" s="10" t="s">
        <v>226</v>
      </c>
      <c r="B46" s="10" t="s">
        <v>227</v>
      </c>
      <c r="C46" s="39"/>
      <c r="D46" s="39"/>
      <c r="E46" s="39"/>
      <c r="G46" s="41">
        <f t="shared" si="0"/>
        <v>0</v>
      </c>
    </row>
    <row r="47" spans="1:8">
      <c r="A47" s="10" t="s">
        <v>228</v>
      </c>
      <c r="B47" s="10" t="s">
        <v>300</v>
      </c>
      <c r="C47" s="39"/>
      <c r="D47" s="39"/>
      <c r="E47" s="39"/>
      <c r="G47" s="41">
        <f t="shared" si="0"/>
        <v>0</v>
      </c>
    </row>
    <row r="48" spans="1:8">
      <c r="A48" s="10" t="s">
        <v>229</v>
      </c>
      <c r="B48" s="10" t="s">
        <v>301</v>
      </c>
      <c r="C48" s="40"/>
      <c r="D48" s="40"/>
      <c r="E48" s="40"/>
      <c r="G48" s="41">
        <f t="shared" si="0"/>
        <v>0</v>
      </c>
    </row>
    <row r="49" spans="1:7">
      <c r="B49" s="10" t="s">
        <v>302</v>
      </c>
      <c r="C49" s="39">
        <f>SUM(C41:C48)</f>
        <v>0</v>
      </c>
      <c r="D49" s="39">
        <f>SUM(D41:D48)</f>
        <v>0</v>
      </c>
      <c r="E49" s="39">
        <f>SUM(E41:E48)</f>
        <v>0</v>
      </c>
      <c r="G49" s="41">
        <f t="shared" si="0"/>
        <v>0</v>
      </c>
    </row>
    <row r="50" spans="1:7">
      <c r="C50" s="39"/>
      <c r="D50" s="39"/>
      <c r="E50" s="39"/>
      <c r="G50" s="41">
        <f t="shared" si="0"/>
        <v>0</v>
      </c>
    </row>
    <row r="51" spans="1:7">
      <c r="A51" s="10" t="s">
        <v>303</v>
      </c>
      <c r="C51" s="39"/>
      <c r="D51" s="39"/>
      <c r="E51" s="39"/>
      <c r="G51" s="41">
        <f t="shared" si="0"/>
        <v>0</v>
      </c>
    </row>
    <row r="52" spans="1:7">
      <c r="A52" s="10" t="s">
        <v>304</v>
      </c>
      <c r="C52" s="39"/>
      <c r="D52" s="39"/>
      <c r="E52" s="39"/>
      <c r="G52" s="41">
        <f t="shared" si="0"/>
        <v>0</v>
      </c>
    </row>
    <row r="53" spans="1:7">
      <c r="A53" s="10" t="s">
        <v>230</v>
      </c>
      <c r="B53" s="10" t="s">
        <v>407</v>
      </c>
      <c r="C53" s="39"/>
      <c r="D53" s="39"/>
      <c r="E53" s="39"/>
      <c r="G53" s="41">
        <f t="shared" si="0"/>
        <v>0</v>
      </c>
    </row>
    <row r="54" spans="1:7">
      <c r="A54" s="10" t="s">
        <v>231</v>
      </c>
      <c r="B54" s="10" t="s">
        <v>408</v>
      </c>
      <c r="C54" s="39"/>
      <c r="D54" s="39"/>
      <c r="E54" s="39"/>
      <c r="G54" s="41">
        <f t="shared" si="0"/>
        <v>0</v>
      </c>
    </row>
    <row r="55" spans="1:7">
      <c r="A55" s="10" t="s">
        <v>232</v>
      </c>
      <c r="B55" s="10" t="s">
        <v>409</v>
      </c>
      <c r="C55" s="39"/>
      <c r="D55" s="39"/>
      <c r="E55" s="39"/>
      <c r="G55" s="41">
        <f t="shared" si="0"/>
        <v>0</v>
      </c>
    </row>
    <row r="56" spans="1:7">
      <c r="A56" s="10" t="s">
        <v>233</v>
      </c>
      <c r="B56" s="10" t="s">
        <v>305</v>
      </c>
      <c r="C56" s="39"/>
      <c r="D56" s="39"/>
      <c r="E56" s="39"/>
      <c r="G56" s="41">
        <f t="shared" si="0"/>
        <v>0</v>
      </c>
    </row>
    <row r="57" spans="1:7">
      <c r="A57" s="10" t="s">
        <v>234</v>
      </c>
      <c r="B57" s="10" t="s">
        <v>306</v>
      </c>
      <c r="C57" s="39"/>
      <c r="D57" s="39"/>
      <c r="E57" s="39"/>
      <c r="G57" s="41">
        <f t="shared" si="0"/>
        <v>0</v>
      </c>
    </row>
    <row r="58" spans="1:7">
      <c r="A58" s="10" t="s">
        <v>0</v>
      </c>
      <c r="B58" s="10" t="s">
        <v>307</v>
      </c>
      <c r="C58" s="39"/>
      <c r="D58" s="39"/>
      <c r="E58" s="39"/>
      <c r="G58" s="41">
        <f t="shared" si="0"/>
        <v>0</v>
      </c>
    </row>
    <row r="59" spans="1:7">
      <c r="A59" s="10" t="s">
        <v>1</v>
      </c>
      <c r="B59" s="10" t="s">
        <v>308</v>
      </c>
      <c r="C59" s="39"/>
      <c r="D59" s="39"/>
      <c r="E59" s="39"/>
      <c r="G59" s="41">
        <f t="shared" si="0"/>
        <v>0</v>
      </c>
    </row>
    <row r="60" spans="1:7">
      <c r="A60" s="10" t="s">
        <v>3</v>
      </c>
      <c r="B60" s="10" t="s">
        <v>2</v>
      </c>
      <c r="C60" s="39"/>
      <c r="D60" s="39"/>
      <c r="E60" s="39"/>
      <c r="G60" s="41">
        <f t="shared" si="0"/>
        <v>0</v>
      </c>
    </row>
    <row r="61" spans="1:7">
      <c r="A61" s="10" t="s">
        <v>4</v>
      </c>
      <c r="B61" s="10" t="s">
        <v>5</v>
      </c>
      <c r="C61" s="39"/>
      <c r="D61" s="39"/>
      <c r="E61" s="39"/>
      <c r="G61" s="41">
        <f t="shared" si="0"/>
        <v>0</v>
      </c>
    </row>
    <row r="62" spans="1:7">
      <c r="A62" s="10" t="s">
        <v>6</v>
      </c>
      <c r="B62" s="10" t="s">
        <v>7</v>
      </c>
      <c r="C62" s="39"/>
      <c r="D62" s="39"/>
      <c r="E62" s="39"/>
      <c r="G62" s="41">
        <f t="shared" si="0"/>
        <v>0</v>
      </c>
    </row>
    <row r="63" spans="1:7">
      <c r="A63" s="10" t="s">
        <v>8</v>
      </c>
      <c r="B63" s="10" t="s">
        <v>9</v>
      </c>
      <c r="C63" s="39">
        <v>16000</v>
      </c>
      <c r="D63" s="39"/>
      <c r="E63" s="39"/>
      <c r="G63" s="41">
        <f t="shared" si="0"/>
        <v>16000</v>
      </c>
    </row>
    <row r="64" spans="1:7">
      <c r="A64" s="10" t="s">
        <v>11</v>
      </c>
      <c r="B64" s="16" t="s">
        <v>424</v>
      </c>
      <c r="C64" s="39"/>
      <c r="D64" s="39"/>
      <c r="E64" s="39"/>
      <c r="G64" s="41">
        <f t="shared" si="0"/>
        <v>0</v>
      </c>
    </row>
    <row r="65" spans="1:7">
      <c r="A65" s="10" t="s">
        <v>10</v>
      </c>
      <c r="B65" s="10" t="s">
        <v>309</v>
      </c>
      <c r="C65" s="40"/>
      <c r="D65" s="40"/>
      <c r="E65" s="40"/>
      <c r="G65" s="41">
        <f t="shared" si="0"/>
        <v>0</v>
      </c>
    </row>
    <row r="66" spans="1:7">
      <c r="B66" s="10" t="s">
        <v>311</v>
      </c>
      <c r="C66" s="39">
        <f>SUM(C53:C65)</f>
        <v>16000</v>
      </c>
      <c r="D66" s="39">
        <f>SUM(D53:D65)</f>
        <v>0</v>
      </c>
      <c r="E66" s="39">
        <f>SUM(E53:E65)</f>
        <v>0</v>
      </c>
      <c r="G66" s="41">
        <f t="shared" si="0"/>
        <v>16000</v>
      </c>
    </row>
    <row r="67" spans="1:7">
      <c r="C67" s="39"/>
      <c r="D67" s="39"/>
      <c r="E67" s="39"/>
      <c r="G67" s="41">
        <f t="shared" si="0"/>
        <v>0</v>
      </c>
    </row>
    <row r="68" spans="1:7" s="4" customFormat="1" ht="10.5">
      <c r="A68" s="14"/>
      <c r="B68" s="14" t="s">
        <v>312</v>
      </c>
      <c r="C68" s="41">
        <f>SUM(C38+C49+C66)</f>
        <v>56000</v>
      </c>
      <c r="D68" s="41">
        <f>SUM(D38+D49+D66)</f>
        <v>120000</v>
      </c>
      <c r="E68" s="41">
        <f>SUM(E38+E49+E66)</f>
        <v>0</v>
      </c>
      <c r="G68" s="41">
        <f t="shared" si="0"/>
        <v>176000</v>
      </c>
    </row>
    <row r="69" spans="1:7">
      <c r="C69" s="39"/>
      <c r="D69" s="39"/>
      <c r="E69" s="39"/>
      <c r="G69" s="41">
        <f t="shared" si="0"/>
        <v>0</v>
      </c>
    </row>
    <row r="70" spans="1:7">
      <c r="A70" s="10" t="s">
        <v>313</v>
      </c>
      <c r="C70" s="39"/>
      <c r="D70" s="39"/>
      <c r="E70" s="39"/>
      <c r="G70" s="41">
        <f t="shared" si="0"/>
        <v>0</v>
      </c>
    </row>
    <row r="71" spans="1:7">
      <c r="A71" s="10" t="s">
        <v>314</v>
      </c>
      <c r="C71" s="39"/>
      <c r="D71" s="39"/>
      <c r="E71" s="39"/>
      <c r="G71" s="41">
        <f t="shared" si="0"/>
        <v>0</v>
      </c>
    </row>
    <row r="72" spans="1:7">
      <c r="A72" s="10" t="s">
        <v>19</v>
      </c>
      <c r="B72" s="10" t="s">
        <v>323</v>
      </c>
      <c r="C72" s="39">
        <f ca="1">+'OP-SCH'!D88</f>
        <v>61201.951915331323</v>
      </c>
      <c r="D72" s="39"/>
      <c r="E72" s="39"/>
      <c r="G72" s="41">
        <f t="shared" si="0"/>
        <v>61201.951915331323</v>
      </c>
    </row>
    <row r="73" spans="1:7">
      <c r="A73" s="10" t="s">
        <v>12</v>
      </c>
      <c r="B73" s="10" t="s">
        <v>315</v>
      </c>
      <c r="C73" s="39"/>
      <c r="D73" s="39"/>
      <c r="E73" s="39"/>
      <c r="G73" s="41">
        <f t="shared" si="0"/>
        <v>0</v>
      </c>
    </row>
    <row r="74" spans="1:7">
      <c r="A74" s="10" t="s">
        <v>13</v>
      </c>
      <c r="B74" s="10" t="s">
        <v>316</v>
      </c>
      <c r="C74" s="39"/>
      <c r="D74" s="39"/>
      <c r="E74" s="39"/>
      <c r="G74" s="41">
        <f t="shared" si="0"/>
        <v>0</v>
      </c>
    </row>
    <row r="75" spans="1:7">
      <c r="A75" s="10" t="s">
        <v>14</v>
      </c>
      <c r="B75" s="10" t="s">
        <v>317</v>
      </c>
      <c r="C75" s="39"/>
      <c r="D75" s="39"/>
      <c r="E75" s="39"/>
      <c r="G75" s="41">
        <f t="shared" si="0"/>
        <v>0</v>
      </c>
    </row>
    <row r="76" spans="1:7">
      <c r="A76" s="10" t="s">
        <v>15</v>
      </c>
      <c r="B76" s="10" t="s">
        <v>318</v>
      </c>
      <c r="C76" s="39"/>
      <c r="D76" s="39">
        <f ca="1">SUM('12-2013 Ret Emp'!I75)</f>
        <v>52793.341343622007</v>
      </c>
      <c r="E76" s="39"/>
      <c r="F76" s="10"/>
      <c r="G76" s="41">
        <f t="shared" si="0"/>
        <v>52793.341343622007</v>
      </c>
    </row>
    <row r="77" spans="1:7">
      <c r="A77" s="10" t="s">
        <v>16</v>
      </c>
      <c r="B77" s="10" t="s">
        <v>319</v>
      </c>
      <c r="C77" s="39"/>
      <c r="D77" s="39"/>
      <c r="E77" s="39">
        <f ca="1">SUM('12-2013 Ret Emp'!I76)</f>
        <v>42313.503711949998</v>
      </c>
      <c r="F77" s="10"/>
      <c r="G77" s="41">
        <f t="shared" si="0"/>
        <v>42313.503711949998</v>
      </c>
    </row>
    <row r="78" spans="1:7">
      <c r="A78" s="10" t="s">
        <v>17</v>
      </c>
      <c r="B78" s="10" t="s">
        <v>320</v>
      </c>
      <c r="C78" s="39"/>
      <c r="D78" s="39"/>
      <c r="E78" s="39"/>
      <c r="G78" s="41">
        <f t="shared" ref="G78:G147" si="1">+SUM(C78:E78)</f>
        <v>0</v>
      </c>
    </row>
    <row r="79" spans="1:7" ht="14.25" customHeight="1">
      <c r="A79" s="10" t="s">
        <v>18</v>
      </c>
      <c r="B79" s="10" t="s">
        <v>322</v>
      </c>
      <c r="C79" s="40"/>
      <c r="D79" s="40"/>
      <c r="E79" s="40"/>
      <c r="G79" s="41">
        <f t="shared" si="1"/>
        <v>0</v>
      </c>
    </row>
    <row r="80" spans="1:7">
      <c r="B80" s="10" t="s">
        <v>24</v>
      </c>
      <c r="C80" s="39">
        <f>SUM(C72:C79)</f>
        <v>61201.951915331323</v>
      </c>
      <c r="D80" s="39">
        <f>SUM(D72:D79)</f>
        <v>52793.341343622007</v>
      </c>
      <c r="E80" s="39">
        <f>SUM(E72:E79)</f>
        <v>42313.503711949998</v>
      </c>
      <c r="G80" s="41">
        <f t="shared" si="1"/>
        <v>156308.79697090332</v>
      </c>
    </row>
    <row r="81" spans="1:7">
      <c r="C81" s="39"/>
      <c r="D81" s="39"/>
      <c r="E81" s="39"/>
      <c r="G81" s="41">
        <f t="shared" si="1"/>
        <v>0</v>
      </c>
    </row>
    <row r="82" spans="1:7">
      <c r="C82" s="39"/>
      <c r="D82" s="39"/>
      <c r="E82" s="39"/>
      <c r="G82" s="41">
        <f t="shared" si="1"/>
        <v>0</v>
      </c>
    </row>
    <row r="83" spans="1:7">
      <c r="A83" s="10" t="s">
        <v>325</v>
      </c>
      <c r="C83" s="39"/>
      <c r="D83" s="39"/>
      <c r="E83" s="39"/>
      <c r="G83" s="41">
        <f t="shared" si="1"/>
        <v>0</v>
      </c>
    </row>
    <row r="84" spans="1:7">
      <c r="A84" s="10" t="s">
        <v>20</v>
      </c>
      <c r="B84" s="10" t="s">
        <v>324</v>
      </c>
      <c r="C84" s="39"/>
      <c r="D84" s="39"/>
      <c r="E84" s="39"/>
      <c r="G84" s="41">
        <f t="shared" si="1"/>
        <v>0</v>
      </c>
    </row>
    <row r="85" spans="1:7">
      <c r="A85" s="10" t="s">
        <v>21</v>
      </c>
      <c r="B85" s="10" t="s">
        <v>325</v>
      </c>
      <c r="C85" s="39"/>
      <c r="D85" s="39"/>
      <c r="E85" s="39"/>
      <c r="G85" s="41">
        <f t="shared" si="1"/>
        <v>0</v>
      </c>
    </row>
    <row r="86" spans="1:7">
      <c r="A86" s="10" t="s">
        <v>440</v>
      </c>
      <c r="B86" s="10" t="s">
        <v>441</v>
      </c>
      <c r="C86" s="39"/>
      <c r="D86" s="39"/>
      <c r="E86" s="39"/>
      <c r="G86" s="41">
        <f t="shared" si="1"/>
        <v>0</v>
      </c>
    </row>
    <row r="87" spans="1:7">
      <c r="A87" s="10" t="s">
        <v>22</v>
      </c>
      <c r="B87" s="10" t="s">
        <v>23</v>
      </c>
      <c r="C87" s="40"/>
      <c r="D87" s="40"/>
      <c r="E87" s="40"/>
      <c r="G87" s="41">
        <f t="shared" si="1"/>
        <v>0</v>
      </c>
    </row>
    <row r="88" spans="1:7">
      <c r="B88" s="10" t="s">
        <v>326</v>
      </c>
      <c r="C88" s="39">
        <f>+SUM(C84:C87)</f>
        <v>0</v>
      </c>
      <c r="D88" s="39">
        <f>+SUM(D84:D87)</f>
        <v>0</v>
      </c>
      <c r="E88" s="39">
        <f>+SUM(E84:E87)</f>
        <v>0</v>
      </c>
      <c r="G88" s="41">
        <f t="shared" si="1"/>
        <v>0</v>
      </c>
    </row>
    <row r="89" spans="1:7">
      <c r="C89" s="39"/>
      <c r="D89" s="39"/>
      <c r="E89" s="39"/>
      <c r="G89" s="41">
        <f t="shared" si="1"/>
        <v>0</v>
      </c>
    </row>
    <row r="90" spans="1:7">
      <c r="B90" s="10" t="s">
        <v>327</v>
      </c>
      <c r="C90" s="39">
        <f>SUM(C80+C88)</f>
        <v>61201.951915331323</v>
      </c>
      <c r="D90" s="39">
        <f>SUM(D80+D88)</f>
        <v>52793.341343622007</v>
      </c>
      <c r="E90" s="39">
        <f>SUM(E80+E88)</f>
        <v>42313.503711949998</v>
      </c>
      <c r="G90" s="41">
        <f t="shared" si="1"/>
        <v>156308.79697090332</v>
      </c>
    </row>
    <row r="91" spans="1:7">
      <c r="C91" s="39"/>
      <c r="D91" s="39"/>
      <c r="E91" s="39"/>
      <c r="G91" s="41">
        <f t="shared" si="1"/>
        <v>0</v>
      </c>
    </row>
    <row r="92" spans="1:7">
      <c r="A92" s="10" t="s">
        <v>328</v>
      </c>
      <c r="C92" s="39"/>
      <c r="D92" s="39"/>
      <c r="E92" s="39"/>
      <c r="G92" s="41">
        <f t="shared" si="1"/>
        <v>0</v>
      </c>
    </row>
    <row r="93" spans="1:7">
      <c r="A93" s="10" t="s">
        <v>25</v>
      </c>
      <c r="B93" s="10" t="s">
        <v>33</v>
      </c>
      <c r="C93" s="39">
        <f>+C$7*139.64*2*1.05*12</f>
        <v>3518.9279999999999</v>
      </c>
      <c r="D93" s="39">
        <f>+D$7*139.64*2*1.05*12</f>
        <v>3518.9279999999999</v>
      </c>
      <c r="E93" s="39">
        <f>+E$7*139.64*2*1.05*12</f>
        <v>3518.9279999999999</v>
      </c>
      <c r="G93" s="41">
        <f t="shared" si="1"/>
        <v>10556.784</v>
      </c>
    </row>
    <row r="94" spans="1:7">
      <c r="A94" s="10" t="s">
        <v>26</v>
      </c>
      <c r="B94" s="10" t="s">
        <v>34</v>
      </c>
      <c r="C94" s="39">
        <f>+C$7*8.74*2*1.02*12</f>
        <v>213.95519999999999</v>
      </c>
      <c r="D94" s="39">
        <f>+D$7*8.74*2*1.02*12</f>
        <v>213.95519999999999</v>
      </c>
      <c r="E94" s="39">
        <f>+E$7*8.74*2*1.02*12</f>
        <v>213.95519999999999</v>
      </c>
      <c r="G94" s="41">
        <f t="shared" si="1"/>
        <v>641.86559999999997</v>
      </c>
    </row>
    <row r="95" spans="1:7">
      <c r="A95" s="10" t="s">
        <v>28</v>
      </c>
      <c r="B95" s="10" t="s">
        <v>27</v>
      </c>
      <c r="C95" s="39">
        <f>(+C$88-C$84+C$80)*0.062</f>
        <v>3794.5210187505422</v>
      </c>
      <c r="D95" s="39">
        <f>(+D$88-D$84+D$80)*0.062</f>
        <v>3273.1871633045644</v>
      </c>
      <c r="E95" s="39">
        <f>(+E$88-E$84+E$80)*0.062</f>
        <v>2623.4372301408998</v>
      </c>
      <c r="G95" s="41">
        <f t="shared" si="1"/>
        <v>9691.1454121960069</v>
      </c>
    </row>
    <row r="96" spans="1:7">
      <c r="A96" s="10" t="s">
        <v>30</v>
      </c>
      <c r="B96" s="10" t="s">
        <v>29</v>
      </c>
      <c r="C96" s="39">
        <f>(+C$88-C$84+C$80)*0.0145</f>
        <v>887.42830277230428</v>
      </c>
      <c r="D96" s="39">
        <f>(+D$88-D$84+D$80)*0.0145</f>
        <v>765.50344948251916</v>
      </c>
      <c r="E96" s="39">
        <f>(+E$88-E$84+E$80)*0.0145</f>
        <v>613.54580382327504</v>
      </c>
      <c r="G96" s="41">
        <f t="shared" si="1"/>
        <v>2266.4775560780986</v>
      </c>
    </row>
    <row r="97" spans="1:7">
      <c r="A97" s="10" t="s">
        <v>31</v>
      </c>
      <c r="B97" s="10" t="s">
        <v>32</v>
      </c>
      <c r="C97" s="39">
        <f>(+C$88-C$84+C$80)*0.06</f>
        <v>3672.1171149198794</v>
      </c>
      <c r="D97" s="39">
        <f>(+D$88-D$84+D$80)*0.06</f>
        <v>3167.6004806173205</v>
      </c>
      <c r="E97" s="39">
        <f>(+E$88-E$84+E$80)*0.06</f>
        <v>2538.8102227169998</v>
      </c>
      <c r="G97" s="41">
        <f t="shared" si="1"/>
        <v>9378.5278182542006</v>
      </c>
    </row>
    <row r="98" spans="1:7">
      <c r="A98" s="10" t="s">
        <v>36</v>
      </c>
      <c r="B98" s="10" t="s">
        <v>35</v>
      </c>
      <c r="C98" s="39">
        <f>(+C$88-C$84+C$80)*0.0056</f>
        <v>342.73093072585539</v>
      </c>
      <c r="D98" s="39">
        <f>(+D$88-D$84+D$80)*0.0056</f>
        <v>295.64271152428324</v>
      </c>
      <c r="E98" s="39">
        <f>(+E$88-E$84+E$80)*0.0056</f>
        <v>236.95562078691998</v>
      </c>
      <c r="G98" s="41">
        <f t="shared" si="1"/>
        <v>875.32926303705858</v>
      </c>
    </row>
    <row r="99" spans="1:7">
      <c r="A99" s="10" t="s">
        <v>38</v>
      </c>
      <c r="B99" s="10" t="s">
        <v>37</v>
      </c>
      <c r="C99" s="39">
        <f>+C$7*7700*0.0201</f>
        <v>154.77000000000001</v>
      </c>
      <c r="D99" s="39">
        <f>+D$7*7700*0.0201</f>
        <v>154.77000000000001</v>
      </c>
      <c r="E99" s="39">
        <f>+E$7*7700*0.0201</f>
        <v>154.77000000000001</v>
      </c>
      <c r="G99" s="41">
        <f t="shared" si="1"/>
        <v>464.31000000000006</v>
      </c>
    </row>
    <row r="100" spans="1:7">
      <c r="A100" s="10" t="s">
        <v>83</v>
      </c>
      <c r="B100" s="10" t="s">
        <v>84</v>
      </c>
      <c r="C100" s="39"/>
      <c r="D100" s="39"/>
      <c r="E100" s="39"/>
      <c r="G100" s="41">
        <f>+SUM(C100:E100)</f>
        <v>0</v>
      </c>
    </row>
    <row r="101" spans="1:7">
      <c r="A101" s="10" t="s">
        <v>39</v>
      </c>
      <c r="B101" s="10" t="s">
        <v>40</v>
      </c>
      <c r="C101" s="40">
        <f>(+C$88-C$84+C$80)*(0.0024+0.0036+0.0013)</f>
        <v>446.77424898191867</v>
      </c>
      <c r="D101" s="40">
        <f>(+D$88-D$84+D$80)*(0.0024+0.0036+0.0013)</f>
        <v>385.39139180844063</v>
      </c>
      <c r="E101" s="40">
        <f>(+E$88-E$84+E$80)*(0.0024+0.0036+0.0013)</f>
        <v>308.88857709723499</v>
      </c>
      <c r="G101" s="41">
        <f t="shared" si="1"/>
        <v>1141.0542178875942</v>
      </c>
    </row>
    <row r="102" spans="1:7">
      <c r="B102" s="10" t="s">
        <v>235</v>
      </c>
      <c r="C102" s="39">
        <f>SUM(C93:C101)</f>
        <v>13031.224816150501</v>
      </c>
      <c r="D102" s="39">
        <f>SUM(D93:D101)</f>
        <v>11774.97839673713</v>
      </c>
      <c r="E102" s="39">
        <f>SUM(E93:E101)</f>
        <v>10209.29065456533</v>
      </c>
      <c r="G102" s="41">
        <f t="shared" si="1"/>
        <v>35015.493867452962</v>
      </c>
    </row>
    <row r="103" spans="1:7">
      <c r="C103" s="39"/>
      <c r="D103" s="39"/>
      <c r="E103" s="39"/>
      <c r="G103" s="41">
        <f t="shared" si="1"/>
        <v>0</v>
      </c>
    </row>
    <row r="104" spans="1:7" s="4" customFormat="1" ht="10.5">
      <c r="A104" s="14"/>
      <c r="B104" s="14" t="s">
        <v>236</v>
      </c>
      <c r="C104" s="41">
        <f>SUM(C90+C102)</f>
        <v>74233.176731481828</v>
      </c>
      <c r="D104" s="41">
        <f>SUM(D90+D102)</f>
        <v>64568.319740359133</v>
      </c>
      <c r="E104" s="41">
        <f>SUM(E90+E102)</f>
        <v>52522.794366515329</v>
      </c>
      <c r="G104" s="41">
        <f t="shared" si="1"/>
        <v>191324.29083835628</v>
      </c>
    </row>
    <row r="105" spans="1:7">
      <c r="C105" s="39"/>
      <c r="D105" s="39"/>
      <c r="E105" s="39"/>
      <c r="G105" s="41">
        <f t="shared" si="1"/>
        <v>0</v>
      </c>
    </row>
    <row r="106" spans="1:7">
      <c r="A106" s="10" t="s">
        <v>237</v>
      </c>
      <c r="C106" s="39"/>
      <c r="D106" s="39"/>
      <c r="E106" s="39"/>
      <c r="G106" s="41">
        <f t="shared" si="1"/>
        <v>0</v>
      </c>
    </row>
    <row r="107" spans="1:7">
      <c r="A107" s="10" t="s">
        <v>238</v>
      </c>
      <c r="C107" s="39"/>
      <c r="D107" s="39"/>
      <c r="E107" s="39"/>
      <c r="G107" s="41">
        <f t="shared" si="1"/>
        <v>0</v>
      </c>
    </row>
    <row r="108" spans="1:7">
      <c r="A108" s="10" t="s">
        <v>51</v>
      </c>
      <c r="B108" s="10" t="s">
        <v>50</v>
      </c>
      <c r="C108" s="39"/>
      <c r="D108" s="39"/>
      <c r="E108" s="39"/>
      <c r="G108" s="41">
        <f t="shared" si="1"/>
        <v>0</v>
      </c>
    </row>
    <row r="109" spans="1:7">
      <c r="A109" s="10" t="s">
        <v>41</v>
      </c>
      <c r="B109" s="10" t="s">
        <v>42</v>
      </c>
      <c r="C109" s="39"/>
      <c r="D109" s="39"/>
      <c r="E109" s="39"/>
      <c r="G109" s="41">
        <f t="shared" si="1"/>
        <v>0</v>
      </c>
    </row>
    <row r="110" spans="1:7">
      <c r="A110" s="10" t="s">
        <v>43</v>
      </c>
      <c r="B110" s="10" t="s">
        <v>239</v>
      </c>
      <c r="C110" s="39">
        <v>1000</v>
      </c>
      <c r="D110" s="39">
        <v>1000</v>
      </c>
      <c r="E110" s="39">
        <v>1000</v>
      </c>
      <c r="G110" s="41">
        <f t="shared" si="1"/>
        <v>3000</v>
      </c>
    </row>
    <row r="111" spans="1:7">
      <c r="A111" s="10" t="s">
        <v>44</v>
      </c>
      <c r="B111" s="10" t="s">
        <v>45</v>
      </c>
      <c r="C111" s="39"/>
      <c r="D111" s="39"/>
      <c r="E111" s="39"/>
      <c r="G111" s="41">
        <f t="shared" si="1"/>
        <v>0</v>
      </c>
    </row>
    <row r="112" spans="1:7">
      <c r="A112" s="10" t="s">
        <v>46</v>
      </c>
      <c r="B112" s="10" t="s">
        <v>240</v>
      </c>
      <c r="C112" s="39"/>
      <c r="D112" s="39"/>
      <c r="E112" s="39"/>
      <c r="G112" s="41">
        <f t="shared" si="1"/>
        <v>0</v>
      </c>
    </row>
    <row r="113" spans="1:7">
      <c r="A113" s="10" t="s">
        <v>47</v>
      </c>
      <c r="B113" s="10" t="s">
        <v>241</v>
      </c>
      <c r="C113" s="39"/>
      <c r="D113" s="39"/>
      <c r="E113" s="39"/>
      <c r="G113" s="41">
        <f t="shared" si="1"/>
        <v>0</v>
      </c>
    </row>
    <row r="114" spans="1:7">
      <c r="A114" s="10" t="s">
        <v>48</v>
      </c>
      <c r="B114" s="10" t="s">
        <v>49</v>
      </c>
      <c r="C114" s="39"/>
      <c r="D114" s="39"/>
      <c r="E114" s="39"/>
      <c r="G114" s="41">
        <f t="shared" si="1"/>
        <v>0</v>
      </c>
    </row>
    <row r="115" spans="1:7">
      <c r="A115" s="10" t="s">
        <v>82</v>
      </c>
      <c r="B115" s="10" t="s">
        <v>166</v>
      </c>
      <c r="C115" s="39"/>
      <c r="D115" s="39"/>
      <c r="E115" s="39"/>
      <c r="G115" s="41">
        <f t="shared" ref="G115:G120" si="2">+SUM(C115:E115)</f>
        <v>0</v>
      </c>
    </row>
    <row r="116" spans="1:7">
      <c r="A116" s="10" t="s">
        <v>104</v>
      </c>
      <c r="B116" s="10" t="s">
        <v>103</v>
      </c>
      <c r="C116" s="39"/>
      <c r="D116" s="39"/>
      <c r="E116" s="39"/>
      <c r="G116" s="41">
        <f t="shared" si="2"/>
        <v>0</v>
      </c>
    </row>
    <row r="117" spans="1:7">
      <c r="A117" s="10" t="s">
        <v>59</v>
      </c>
      <c r="B117" s="10" t="s">
        <v>321</v>
      </c>
      <c r="C117" s="39"/>
      <c r="D117" s="39"/>
      <c r="E117" s="39"/>
      <c r="G117" s="41">
        <f t="shared" si="2"/>
        <v>0</v>
      </c>
    </row>
    <row r="118" spans="1:7">
      <c r="A118" s="10" t="s">
        <v>87</v>
      </c>
      <c r="B118" s="10" t="s">
        <v>88</v>
      </c>
      <c r="C118" s="39"/>
      <c r="D118" s="39">
        <v>15000</v>
      </c>
      <c r="E118" s="39">
        <v>30000</v>
      </c>
      <c r="G118" s="41">
        <f t="shared" si="2"/>
        <v>45000</v>
      </c>
    </row>
    <row r="119" spans="1:7">
      <c r="A119" s="10" t="s">
        <v>89</v>
      </c>
      <c r="B119" s="10" t="s">
        <v>90</v>
      </c>
      <c r="C119" s="39"/>
      <c r="D119" s="39"/>
      <c r="E119" s="39"/>
      <c r="G119" s="41">
        <f t="shared" si="2"/>
        <v>0</v>
      </c>
    </row>
    <row r="120" spans="1:7">
      <c r="A120" s="10" t="s">
        <v>450</v>
      </c>
      <c r="B120" s="10" t="s">
        <v>451</v>
      </c>
      <c r="C120" s="39"/>
      <c r="D120" s="39"/>
      <c r="E120" s="39"/>
      <c r="G120" s="41">
        <f t="shared" si="2"/>
        <v>0</v>
      </c>
    </row>
    <row r="121" spans="1:7">
      <c r="A121" s="10" t="s">
        <v>52</v>
      </c>
      <c r="B121" s="10" t="s">
        <v>53</v>
      </c>
      <c r="C121" s="40"/>
      <c r="D121" s="40"/>
      <c r="E121" s="40"/>
      <c r="G121" s="41">
        <f t="shared" si="1"/>
        <v>0</v>
      </c>
    </row>
    <row r="122" spans="1:7">
      <c r="B122" s="10" t="s">
        <v>242</v>
      </c>
      <c r="C122" s="39">
        <f>SUM(C108:C120)</f>
        <v>1000</v>
      </c>
      <c r="D122" s="39">
        <f>SUM(D108:D120)</f>
        <v>16000</v>
      </c>
      <c r="E122" s="39">
        <f>SUM(E108:E120)</f>
        <v>31000</v>
      </c>
      <c r="G122" s="41">
        <f t="shared" si="1"/>
        <v>48000</v>
      </c>
    </row>
    <row r="123" spans="1:7">
      <c r="C123" s="39"/>
      <c r="D123" s="39"/>
      <c r="E123" s="39"/>
      <c r="G123" s="41">
        <f t="shared" si="1"/>
        <v>0</v>
      </c>
    </row>
    <row r="124" spans="1:7">
      <c r="A124" s="10" t="s">
        <v>243</v>
      </c>
      <c r="C124" s="39"/>
      <c r="D124" s="39"/>
      <c r="E124" s="39"/>
      <c r="G124" s="41">
        <f t="shared" si="1"/>
        <v>0</v>
      </c>
    </row>
    <row r="125" spans="1:7">
      <c r="A125" s="10" t="s">
        <v>56</v>
      </c>
      <c r="B125" s="10" t="s">
        <v>246</v>
      </c>
      <c r="C125" s="39"/>
      <c r="D125" s="39"/>
      <c r="E125" s="39"/>
      <c r="G125" s="41">
        <f t="shared" si="1"/>
        <v>0</v>
      </c>
    </row>
    <row r="126" spans="1:7">
      <c r="A126" s="10" t="s">
        <v>57</v>
      </c>
      <c r="B126" s="10" t="s">
        <v>247</v>
      </c>
      <c r="C126" s="39"/>
      <c r="D126" s="39"/>
      <c r="E126" s="39"/>
      <c r="G126" s="41">
        <f t="shared" si="1"/>
        <v>0</v>
      </c>
    </row>
    <row r="127" spans="1:7">
      <c r="A127" s="10" t="s">
        <v>58</v>
      </c>
      <c r="B127" s="10" t="s">
        <v>248</v>
      </c>
      <c r="C127" s="39"/>
      <c r="D127" s="39"/>
      <c r="E127" s="39"/>
      <c r="G127" s="41">
        <f t="shared" si="1"/>
        <v>0</v>
      </c>
    </row>
    <row r="128" spans="1:7">
      <c r="A128" s="10" t="s">
        <v>55</v>
      </c>
      <c r="B128" s="10" t="s">
        <v>245</v>
      </c>
      <c r="C128" s="39"/>
      <c r="D128" s="39"/>
      <c r="E128" s="39"/>
      <c r="G128" s="41">
        <f t="shared" si="1"/>
        <v>0</v>
      </c>
    </row>
    <row r="129" spans="1:7" ht="10.5" customHeight="1">
      <c r="A129" s="10" t="s">
        <v>54</v>
      </c>
      <c r="B129" s="10" t="s">
        <v>244</v>
      </c>
      <c r="C129" s="39"/>
      <c r="D129" s="39"/>
      <c r="E129" s="39"/>
      <c r="G129" s="41">
        <f t="shared" si="1"/>
        <v>0</v>
      </c>
    </row>
    <row r="130" spans="1:7">
      <c r="A130" s="10" t="s">
        <v>60</v>
      </c>
      <c r="B130" s="10" t="s">
        <v>61</v>
      </c>
      <c r="C130" s="39"/>
      <c r="D130" s="39"/>
      <c r="E130" s="39"/>
      <c r="G130" s="41">
        <f t="shared" si="1"/>
        <v>0</v>
      </c>
    </row>
    <row r="131" spans="1:7">
      <c r="A131" s="10" t="s">
        <v>448</v>
      </c>
      <c r="B131" s="10" t="s">
        <v>449</v>
      </c>
      <c r="C131" s="39"/>
      <c r="D131" s="39"/>
      <c r="E131" s="39"/>
      <c r="G131" s="41">
        <f t="shared" si="1"/>
        <v>0</v>
      </c>
    </row>
    <row r="132" spans="1:7">
      <c r="A132" s="10" t="s">
        <v>62</v>
      </c>
      <c r="B132" s="10" t="s">
        <v>249</v>
      </c>
      <c r="C132" s="40"/>
      <c r="D132" s="40"/>
      <c r="E132" s="40"/>
      <c r="G132" s="41">
        <f t="shared" si="1"/>
        <v>0</v>
      </c>
    </row>
    <row r="133" spans="1:7">
      <c r="B133" s="10" t="s">
        <v>250</v>
      </c>
      <c r="C133" s="39">
        <f>SUM(C125:C132)</f>
        <v>0</v>
      </c>
      <c r="D133" s="39">
        <f>SUM(D125:D132)</f>
        <v>0</v>
      </c>
      <c r="E133" s="39">
        <f>SUM(E125:E132)</f>
        <v>0</v>
      </c>
      <c r="G133" s="41">
        <f t="shared" si="1"/>
        <v>0</v>
      </c>
    </row>
    <row r="134" spans="1:7">
      <c r="C134" s="39"/>
      <c r="D134" s="39"/>
      <c r="E134" s="39"/>
      <c r="G134" s="41">
        <f t="shared" si="1"/>
        <v>0</v>
      </c>
    </row>
    <row r="135" spans="1:7">
      <c r="A135" s="10" t="s">
        <v>251</v>
      </c>
      <c r="C135" s="39"/>
      <c r="D135" s="39"/>
      <c r="E135" s="39"/>
      <c r="G135" s="41">
        <f t="shared" si="1"/>
        <v>0</v>
      </c>
    </row>
    <row r="136" spans="1:7">
      <c r="A136" s="10" t="s">
        <v>252</v>
      </c>
      <c r="C136" s="39"/>
      <c r="D136" s="39"/>
      <c r="E136" s="39"/>
      <c r="G136" s="41">
        <f t="shared" si="1"/>
        <v>0</v>
      </c>
    </row>
    <row r="137" spans="1:7">
      <c r="A137" s="10" t="s">
        <v>63</v>
      </c>
      <c r="B137" s="10" t="s">
        <v>253</v>
      </c>
      <c r="C137" s="39"/>
      <c r="D137" s="39"/>
      <c r="E137" s="39"/>
      <c r="G137" s="41">
        <f t="shared" si="1"/>
        <v>0</v>
      </c>
    </row>
    <row r="138" spans="1:7">
      <c r="A138" s="10" t="s">
        <v>64</v>
      </c>
      <c r="B138" s="10" t="s">
        <v>254</v>
      </c>
      <c r="C138" s="39"/>
      <c r="D138" s="39"/>
      <c r="E138" s="39"/>
      <c r="G138" s="41">
        <f t="shared" si="1"/>
        <v>0</v>
      </c>
    </row>
    <row r="139" spans="1:7">
      <c r="A139" s="10" t="s">
        <v>454</v>
      </c>
      <c r="B139" s="10" t="s">
        <v>455</v>
      </c>
      <c r="C139" s="39"/>
      <c r="D139" s="39"/>
      <c r="E139" s="39"/>
      <c r="G139" s="41">
        <f t="shared" si="1"/>
        <v>0</v>
      </c>
    </row>
    <row r="140" spans="1:7">
      <c r="A140" s="10" t="s">
        <v>65</v>
      </c>
      <c r="B140" s="10" t="s">
        <v>255</v>
      </c>
      <c r="C140" s="40"/>
      <c r="D140" s="40"/>
      <c r="E140" s="40"/>
      <c r="G140" s="41">
        <f t="shared" si="1"/>
        <v>0</v>
      </c>
    </row>
    <row r="141" spans="1:7">
      <c r="B141" s="10" t="s">
        <v>256</v>
      </c>
      <c r="C141" s="39">
        <f>SUM(C137:C140)</f>
        <v>0</v>
      </c>
      <c r="D141" s="39">
        <f>SUM(D137:D140)</f>
        <v>0</v>
      </c>
      <c r="E141" s="39">
        <f>SUM(E137:E140)</f>
        <v>0</v>
      </c>
      <c r="G141" s="41">
        <f t="shared" si="1"/>
        <v>0</v>
      </c>
    </row>
    <row r="142" spans="1:7">
      <c r="C142" s="39"/>
      <c r="D142" s="39"/>
      <c r="E142" s="39"/>
      <c r="G142" s="41">
        <f t="shared" si="1"/>
        <v>0</v>
      </c>
    </row>
    <row r="143" spans="1:7">
      <c r="A143" s="10" t="s">
        <v>257</v>
      </c>
      <c r="C143" s="39"/>
      <c r="D143" s="39"/>
      <c r="E143" s="39"/>
      <c r="G143" s="41">
        <f t="shared" si="1"/>
        <v>0</v>
      </c>
    </row>
    <row r="144" spans="1:7">
      <c r="A144" s="10" t="s">
        <v>66</v>
      </c>
      <c r="B144" s="10" t="s">
        <v>258</v>
      </c>
      <c r="C144" s="39"/>
      <c r="D144" s="39"/>
      <c r="E144" s="39"/>
      <c r="G144" s="41">
        <f t="shared" si="1"/>
        <v>0</v>
      </c>
    </row>
    <row r="145" spans="1:7">
      <c r="A145" s="10" t="s">
        <v>67</v>
      </c>
      <c r="B145" s="10" t="s">
        <v>259</v>
      </c>
      <c r="C145" s="39"/>
      <c r="D145" s="39"/>
      <c r="E145" s="39"/>
      <c r="G145" s="41">
        <f t="shared" si="1"/>
        <v>0</v>
      </c>
    </row>
    <row r="146" spans="1:7">
      <c r="A146" s="10" t="s">
        <v>68</v>
      </c>
      <c r="B146" s="10" t="s">
        <v>260</v>
      </c>
      <c r="C146" s="39">
        <f>60*12</f>
        <v>720</v>
      </c>
      <c r="D146" s="39">
        <f>60*12</f>
        <v>720</v>
      </c>
      <c r="E146" s="39">
        <f>60*12</f>
        <v>720</v>
      </c>
      <c r="G146" s="41">
        <f t="shared" si="1"/>
        <v>2160</v>
      </c>
    </row>
    <row r="147" spans="1:7">
      <c r="A147" s="10" t="s">
        <v>69</v>
      </c>
      <c r="B147" s="10" t="s">
        <v>261</v>
      </c>
      <c r="C147" s="39"/>
      <c r="D147" s="39"/>
      <c r="E147" s="39"/>
      <c r="G147" s="41">
        <f t="shared" si="1"/>
        <v>0</v>
      </c>
    </row>
    <row r="148" spans="1:7" ht="12" customHeight="1">
      <c r="A148" s="10" t="s">
        <v>70</v>
      </c>
      <c r="B148" s="10" t="s">
        <v>262</v>
      </c>
      <c r="C148" s="39"/>
      <c r="D148" s="39"/>
      <c r="E148" s="39"/>
      <c r="G148" s="41">
        <f t="shared" ref="G148:G191" si="3">+SUM(C148:E148)</f>
        <v>0</v>
      </c>
    </row>
    <row r="149" spans="1:7">
      <c r="A149" s="10" t="s">
        <v>462</v>
      </c>
      <c r="B149" s="10" t="s">
        <v>464</v>
      </c>
      <c r="C149" s="40"/>
      <c r="D149" s="40"/>
      <c r="E149" s="40"/>
      <c r="G149" s="41">
        <f t="shared" si="3"/>
        <v>0</v>
      </c>
    </row>
    <row r="150" spans="1:7">
      <c r="B150" s="10" t="s">
        <v>263</v>
      </c>
      <c r="C150" s="39">
        <f>SUM(C144:C149)</f>
        <v>720</v>
      </c>
      <c r="D150" s="39">
        <f>SUM(D144:D149)</f>
        <v>720</v>
      </c>
      <c r="E150" s="39">
        <f>SUM(E144:E149)</f>
        <v>720</v>
      </c>
      <c r="G150" s="41">
        <f t="shared" si="3"/>
        <v>2160</v>
      </c>
    </row>
    <row r="151" spans="1:7">
      <c r="C151" s="39"/>
      <c r="D151" s="39"/>
      <c r="E151" s="39"/>
      <c r="G151" s="41">
        <f t="shared" si="3"/>
        <v>0</v>
      </c>
    </row>
    <row r="152" spans="1:7">
      <c r="A152" s="10" t="s">
        <v>264</v>
      </c>
      <c r="C152" s="39"/>
      <c r="D152" s="39"/>
      <c r="E152" s="39"/>
      <c r="G152" s="41">
        <f t="shared" si="3"/>
        <v>0</v>
      </c>
    </row>
    <row r="153" spans="1:7">
      <c r="A153" s="10" t="s">
        <v>265</v>
      </c>
      <c r="C153" s="39"/>
      <c r="D153" s="39"/>
      <c r="E153" s="39"/>
      <c r="G153" s="41">
        <f t="shared" si="3"/>
        <v>0</v>
      </c>
    </row>
    <row r="154" spans="1:7">
      <c r="A154" s="10" t="s">
        <v>71</v>
      </c>
      <c r="B154" s="10" t="s">
        <v>72</v>
      </c>
      <c r="C154" s="40">
        <v>1000</v>
      </c>
      <c r="D154" s="40">
        <v>750</v>
      </c>
      <c r="E154" s="40">
        <v>750</v>
      </c>
      <c r="G154" s="41">
        <f t="shared" si="3"/>
        <v>2500</v>
      </c>
    </row>
    <row r="155" spans="1:7">
      <c r="B155" s="10" t="s">
        <v>266</v>
      </c>
      <c r="C155" s="39">
        <f>SUM(C154)</f>
        <v>1000</v>
      </c>
      <c r="D155" s="39">
        <f>SUM(D154)</f>
        <v>750</v>
      </c>
      <c r="E155" s="39">
        <f>SUM(E154)</f>
        <v>750</v>
      </c>
      <c r="G155" s="41">
        <f t="shared" si="3"/>
        <v>2500</v>
      </c>
    </row>
    <row r="156" spans="1:7">
      <c r="C156" s="39"/>
      <c r="D156" s="39"/>
      <c r="E156" s="39"/>
      <c r="G156" s="41">
        <f t="shared" si="3"/>
        <v>0</v>
      </c>
    </row>
    <row r="157" spans="1:7">
      <c r="A157" s="10" t="s">
        <v>267</v>
      </c>
      <c r="C157" s="39"/>
      <c r="D157" s="39"/>
      <c r="E157" s="39"/>
      <c r="G157" s="41">
        <f t="shared" si="3"/>
        <v>0</v>
      </c>
    </row>
    <row r="158" spans="1:7">
      <c r="A158" s="10" t="s">
        <v>73</v>
      </c>
      <c r="B158" s="10" t="s">
        <v>74</v>
      </c>
      <c r="C158" s="39">
        <v>1500</v>
      </c>
      <c r="D158" s="39">
        <v>3500</v>
      </c>
      <c r="E158" s="39">
        <v>4500</v>
      </c>
      <c r="G158" s="41">
        <f t="shared" si="3"/>
        <v>9500</v>
      </c>
    </row>
    <row r="159" spans="1:7">
      <c r="A159" s="10" t="s">
        <v>75</v>
      </c>
      <c r="B159" s="10" t="s">
        <v>154</v>
      </c>
      <c r="C159" s="39"/>
      <c r="D159" s="39">
        <f>75*12</f>
        <v>900</v>
      </c>
      <c r="E159" s="39"/>
      <c r="F159" s="10" t="s">
        <v>461</v>
      </c>
      <c r="G159" s="41">
        <f t="shared" si="3"/>
        <v>900</v>
      </c>
    </row>
    <row r="160" spans="1:7">
      <c r="A160" s="10" t="s">
        <v>456</v>
      </c>
      <c r="B160" s="10" t="s">
        <v>97</v>
      </c>
      <c r="C160" s="39"/>
      <c r="D160" s="39"/>
      <c r="E160" s="39"/>
      <c r="G160" s="41">
        <f t="shared" si="3"/>
        <v>0</v>
      </c>
    </row>
    <row r="161" spans="1:7">
      <c r="A161" s="10" t="s">
        <v>457</v>
      </c>
      <c r="B161" s="10" t="s">
        <v>458</v>
      </c>
      <c r="C161" s="39"/>
      <c r="D161" s="39"/>
      <c r="E161" s="39"/>
      <c r="G161" s="41">
        <f t="shared" si="3"/>
        <v>0</v>
      </c>
    </row>
    <row r="162" spans="1:7">
      <c r="A162" s="10" t="s">
        <v>459</v>
      </c>
      <c r="B162" s="10" t="s">
        <v>460</v>
      </c>
      <c r="C162" s="39"/>
      <c r="D162" s="39"/>
      <c r="E162" s="39"/>
      <c r="G162" s="41">
        <f t="shared" si="3"/>
        <v>0</v>
      </c>
    </row>
    <row r="163" spans="1:7">
      <c r="A163" s="10" t="s">
        <v>452</v>
      </c>
      <c r="B163" s="10" t="s">
        <v>453</v>
      </c>
      <c r="C163" s="39"/>
      <c r="D163" s="39"/>
      <c r="E163" s="39"/>
      <c r="G163" s="41">
        <f t="shared" si="3"/>
        <v>0</v>
      </c>
    </row>
    <row r="164" spans="1:7">
      <c r="A164" s="10" t="s">
        <v>76</v>
      </c>
      <c r="B164" s="10" t="s">
        <v>155</v>
      </c>
      <c r="C164" s="39"/>
      <c r="D164" s="39"/>
      <c r="E164" s="39"/>
      <c r="G164" s="41">
        <f t="shared" si="3"/>
        <v>0</v>
      </c>
    </row>
    <row r="165" spans="1:7">
      <c r="A165" s="10" t="s">
        <v>79</v>
      </c>
      <c r="B165" s="10" t="s">
        <v>156</v>
      </c>
      <c r="C165" s="39"/>
      <c r="D165" s="39"/>
      <c r="E165" s="39"/>
      <c r="G165" s="41">
        <f t="shared" si="3"/>
        <v>0</v>
      </c>
    </row>
    <row r="166" spans="1:7">
      <c r="A166" s="10" t="s">
        <v>78</v>
      </c>
      <c r="B166" s="10" t="s">
        <v>157</v>
      </c>
      <c r="C166" s="39"/>
      <c r="D166" s="39"/>
      <c r="E166" s="39"/>
      <c r="G166" s="41">
        <f t="shared" si="3"/>
        <v>0</v>
      </c>
    </row>
    <row r="167" spans="1:7">
      <c r="A167" s="10" t="s">
        <v>77</v>
      </c>
      <c r="B167" s="10" t="s">
        <v>158</v>
      </c>
      <c r="C167" s="39"/>
      <c r="D167" s="39"/>
      <c r="E167" s="39"/>
      <c r="G167" s="41">
        <f t="shared" si="3"/>
        <v>0</v>
      </c>
    </row>
    <row r="168" spans="1:7">
      <c r="A168" s="10" t="s">
        <v>80</v>
      </c>
      <c r="B168" s="10" t="s">
        <v>159</v>
      </c>
      <c r="C168" s="39"/>
      <c r="D168" s="39"/>
      <c r="E168" s="39"/>
      <c r="G168" s="41">
        <f t="shared" si="3"/>
        <v>0</v>
      </c>
    </row>
    <row r="169" spans="1:7">
      <c r="A169" s="10" t="s">
        <v>81</v>
      </c>
      <c r="B169" s="10" t="s">
        <v>160</v>
      </c>
      <c r="C169" s="39"/>
      <c r="D169" s="39"/>
      <c r="E169" s="39"/>
      <c r="G169" s="41">
        <f t="shared" si="3"/>
        <v>0</v>
      </c>
    </row>
    <row r="170" spans="1:7">
      <c r="A170" s="10" t="s">
        <v>161</v>
      </c>
      <c r="B170" s="10" t="s">
        <v>162</v>
      </c>
      <c r="C170" s="40"/>
      <c r="D170" s="40"/>
      <c r="E170" s="40"/>
      <c r="G170" s="95">
        <f t="shared" si="3"/>
        <v>0</v>
      </c>
    </row>
    <row r="171" spans="1:7">
      <c r="B171" s="10" t="s">
        <v>163</v>
      </c>
      <c r="C171" s="39">
        <f>SUM(C158:C170)</f>
        <v>1500</v>
      </c>
      <c r="D171" s="39">
        <f>SUM(D158:D170)</f>
        <v>4400</v>
      </c>
      <c r="E171" s="39">
        <f>SUM(E158:E170)</f>
        <v>4500</v>
      </c>
      <c r="G171" s="41">
        <f t="shared" si="3"/>
        <v>10400</v>
      </c>
    </row>
    <row r="172" spans="1:7">
      <c r="C172" s="39"/>
      <c r="D172" s="39"/>
      <c r="E172" s="39"/>
      <c r="G172" s="41"/>
    </row>
    <row r="173" spans="1:7">
      <c r="A173" s="10" t="s">
        <v>164</v>
      </c>
      <c r="C173" s="39"/>
      <c r="D173" s="39"/>
      <c r="E173" s="39"/>
      <c r="G173" s="41"/>
    </row>
    <row r="174" spans="1:7">
      <c r="A174" s="10" t="s">
        <v>165</v>
      </c>
      <c r="C174" s="39"/>
      <c r="D174" s="39"/>
      <c r="E174" s="39"/>
      <c r="G174" s="41"/>
    </row>
    <row r="175" spans="1:7">
      <c r="A175" s="10" t="s">
        <v>86</v>
      </c>
      <c r="B175" s="10" t="s">
        <v>85</v>
      </c>
      <c r="C175" s="39">
        <v>750</v>
      </c>
      <c r="D175" s="39">
        <v>500</v>
      </c>
      <c r="E175" s="39">
        <v>500</v>
      </c>
      <c r="G175" s="41">
        <f t="shared" si="3"/>
        <v>1750</v>
      </c>
    </row>
    <row r="176" spans="1:7">
      <c r="A176" s="10" t="s">
        <v>91</v>
      </c>
      <c r="B176" s="10" t="s">
        <v>92</v>
      </c>
      <c r="C176" s="39"/>
      <c r="D176" s="39"/>
      <c r="E176" s="39"/>
      <c r="G176" s="41">
        <f t="shared" si="3"/>
        <v>0</v>
      </c>
    </row>
    <row r="177" spans="1:7">
      <c r="A177" s="10" t="s">
        <v>93</v>
      </c>
      <c r="B177" s="10" t="s">
        <v>94</v>
      </c>
      <c r="C177" s="39"/>
      <c r="D177" s="39"/>
      <c r="E177" s="39"/>
      <c r="G177" s="41">
        <f t="shared" si="3"/>
        <v>0</v>
      </c>
    </row>
    <row r="178" spans="1:7">
      <c r="A178" s="10" t="s">
        <v>95</v>
      </c>
      <c r="B178" s="10" t="s">
        <v>432</v>
      </c>
      <c r="C178" s="39"/>
      <c r="D178" s="39"/>
      <c r="E178" s="39"/>
      <c r="G178" s="41">
        <f t="shared" si="3"/>
        <v>0</v>
      </c>
    </row>
    <row r="179" spans="1:7">
      <c r="A179" s="10" t="s">
        <v>96</v>
      </c>
      <c r="B179" s="10" t="s">
        <v>431</v>
      </c>
      <c r="C179" s="39"/>
      <c r="D179" s="39"/>
      <c r="E179" s="39"/>
      <c r="G179" s="41">
        <f t="shared" si="3"/>
        <v>0</v>
      </c>
    </row>
    <row r="180" spans="1:7">
      <c r="A180" s="10" t="s">
        <v>98</v>
      </c>
      <c r="B180" s="10" t="s">
        <v>99</v>
      </c>
      <c r="C180" s="39"/>
      <c r="D180" s="39"/>
      <c r="E180" s="39"/>
      <c r="G180" s="41">
        <f t="shared" si="3"/>
        <v>0</v>
      </c>
    </row>
    <row r="181" spans="1:7">
      <c r="A181" s="10" t="s">
        <v>100</v>
      </c>
      <c r="B181" s="10" t="s">
        <v>287</v>
      </c>
      <c r="C181" s="39"/>
      <c r="D181" s="39"/>
      <c r="E181" s="39"/>
      <c r="G181" s="41">
        <f t="shared" si="3"/>
        <v>0</v>
      </c>
    </row>
    <row r="182" spans="1:7">
      <c r="A182" s="10" t="s">
        <v>101</v>
      </c>
      <c r="B182" s="10" t="s">
        <v>102</v>
      </c>
      <c r="C182" s="39"/>
      <c r="D182" s="39"/>
      <c r="E182" s="39"/>
      <c r="G182" s="41">
        <f t="shared" si="3"/>
        <v>0</v>
      </c>
    </row>
    <row r="183" spans="1:7">
      <c r="A183" s="10" t="s">
        <v>105</v>
      </c>
      <c r="B183" s="10" t="s">
        <v>167</v>
      </c>
      <c r="C183" s="39"/>
      <c r="D183" s="39"/>
      <c r="E183" s="39"/>
      <c r="G183" s="41">
        <f t="shared" si="3"/>
        <v>0</v>
      </c>
    </row>
    <row r="184" spans="1:7">
      <c r="A184" s="10" t="s">
        <v>106</v>
      </c>
      <c r="B184" s="10" t="s">
        <v>107</v>
      </c>
      <c r="C184" s="39"/>
      <c r="D184" s="39">
        <v>10000</v>
      </c>
      <c r="E184" s="39"/>
      <c r="G184" s="41">
        <f t="shared" si="3"/>
        <v>10000</v>
      </c>
    </row>
    <row r="185" spans="1:7">
      <c r="A185" s="10" t="s">
        <v>465</v>
      </c>
      <c r="B185" s="10" t="s">
        <v>466</v>
      </c>
      <c r="C185" s="48"/>
      <c r="D185" s="48"/>
      <c r="E185" s="48"/>
      <c r="G185" s="95">
        <f t="shared" si="3"/>
        <v>0</v>
      </c>
    </row>
    <row r="186" spans="1:7">
      <c r="B186" s="10" t="s">
        <v>168</v>
      </c>
      <c r="C186" s="39">
        <f>SUM(C175:C185)</f>
        <v>750</v>
      </c>
      <c r="D186" s="39">
        <f>SUM(D175:D185)</f>
        <v>10500</v>
      </c>
      <c r="E186" s="39">
        <f>SUM(E175:E185)</f>
        <v>500</v>
      </c>
      <c r="G186" s="41">
        <f t="shared" si="3"/>
        <v>11750</v>
      </c>
    </row>
    <row r="187" spans="1:7">
      <c r="C187" s="39"/>
      <c r="D187" s="39"/>
      <c r="E187" s="39"/>
      <c r="G187" s="41"/>
    </row>
    <row r="188" spans="1:7" s="4" customFormat="1" ht="10.5">
      <c r="A188" s="14"/>
      <c r="B188" s="14" t="s">
        <v>169</v>
      </c>
      <c r="C188" s="41">
        <f>SUM(C122+C133+C141+C150+C155+C171+C186)</f>
        <v>4970</v>
      </c>
      <c r="D188" s="41">
        <f>SUM(D122+D133+D141+D150+D155+D171+D186)</f>
        <v>32370</v>
      </c>
      <c r="E188" s="41">
        <f>SUM(E122+E133+E141+E150+E155+E171+E186)</f>
        <v>37470</v>
      </c>
      <c r="G188" s="41">
        <f t="shared" si="3"/>
        <v>74810</v>
      </c>
    </row>
    <row r="189" spans="1:7">
      <c r="C189" s="39"/>
      <c r="D189" s="39"/>
      <c r="E189" s="39"/>
      <c r="G189" s="41"/>
    </row>
    <row r="190" spans="1:7">
      <c r="C190" s="39"/>
      <c r="D190" s="39"/>
      <c r="E190" s="39"/>
      <c r="G190" s="41"/>
    </row>
    <row r="191" spans="1:7" s="4" customFormat="1" ht="10.5">
      <c r="A191" s="50">
        <f>+SUM(C191:F191)</f>
        <v>-90134.29083835629</v>
      </c>
      <c r="B191" s="14" t="s">
        <v>170</v>
      </c>
      <c r="C191" s="41">
        <f>+C68-C104-C188</f>
        <v>-23203.176731481828</v>
      </c>
      <c r="D191" s="41">
        <f>+D68-D104-D188</f>
        <v>23061.680259640867</v>
      </c>
      <c r="E191" s="41">
        <f>+E68-E104-E188</f>
        <v>-89992.794366515329</v>
      </c>
      <c r="G191" s="41">
        <f t="shared" si="3"/>
        <v>-90134.29083835629</v>
      </c>
    </row>
  </sheetData>
  <phoneticPr fontId="3" type="noConversion"/>
  <pageMargins left="0.22" right="0.17" top="1.49" bottom="0.42" header="0.17" footer="0.17"/>
  <pageSetup orientation="portrait" r:id="rId1"/>
  <headerFooter alignWithMargins="0">
    <oddHeader>&amp;C&amp;"MS Sans Serif,Bold"&amp;18ISL
BUDGET '12-2013
DEVELOPMENT
&amp;A</oddHeader>
    <oddFooter>&amp;L&amp;6&amp;Z&amp;F&amp;R&amp;P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5:I191"/>
  <sheetViews>
    <sheetView workbookViewId="0">
      <pane xSplit="2" ySplit="10" topLeftCell="C119" activePane="bottomRight" state="frozen"/>
      <selection pane="topRight" activeCell="C1" sqref="C1"/>
      <selection pane="bottomLeft" activeCell="A11" sqref="A11"/>
      <selection pane="bottomRight" activeCell="D129" sqref="D129"/>
    </sheetView>
  </sheetViews>
  <sheetFormatPr defaultColWidth="11.42578125" defaultRowHeight="11.25"/>
  <cols>
    <col min="1" max="1" width="15.140625" style="10" customWidth="1"/>
    <col min="2" max="2" width="26.85546875" style="10" customWidth="1"/>
    <col min="3" max="3" width="11.28515625" style="1" bestFit="1" customWidth="1"/>
    <col min="4" max="6" width="12" style="1" bestFit="1" customWidth="1"/>
    <col min="7" max="7" width="4.85546875" style="1" customWidth="1"/>
    <col min="8" max="8" width="12" style="1" customWidth="1"/>
    <col min="9" max="16384" width="11.42578125" style="1"/>
  </cols>
  <sheetData>
    <row r="5" spans="1:8">
      <c r="B5" s="11"/>
    </row>
    <row r="6" spans="1:8">
      <c r="C6" s="1" t="s">
        <v>437</v>
      </c>
      <c r="D6" s="1" t="s">
        <v>438</v>
      </c>
      <c r="E6" s="1" t="s">
        <v>439</v>
      </c>
      <c r="F6" s="1" t="s">
        <v>446</v>
      </c>
    </row>
    <row r="7" spans="1:8" s="8" customFormat="1">
      <c r="A7" s="12"/>
      <c r="B7" s="12" t="s">
        <v>371</v>
      </c>
      <c r="C7" s="62">
        <v>1</v>
      </c>
      <c r="D7" s="62">
        <v>5</v>
      </c>
      <c r="E7" s="62">
        <v>2</v>
      </c>
      <c r="F7" s="62">
        <v>2</v>
      </c>
    </row>
    <row r="9" spans="1:8">
      <c r="C9" s="1" t="s">
        <v>189</v>
      </c>
      <c r="D9" s="1" t="s">
        <v>189</v>
      </c>
      <c r="E9" s="1" t="s">
        <v>189</v>
      </c>
      <c r="F9" s="1" t="s">
        <v>189</v>
      </c>
    </row>
    <row r="10" spans="1:8" s="7" customFormat="1">
      <c r="A10" s="13"/>
      <c r="B10" s="13" t="s">
        <v>174</v>
      </c>
      <c r="C10" s="7">
        <v>2620</v>
      </c>
      <c r="D10" s="7">
        <v>2620</v>
      </c>
      <c r="E10" s="7">
        <v>2620</v>
      </c>
      <c r="F10" s="7">
        <v>2620</v>
      </c>
    </row>
    <row r="11" spans="1:8">
      <c r="A11" s="10" t="s">
        <v>271</v>
      </c>
    </row>
    <row r="12" spans="1:8">
      <c r="A12" s="10" t="s">
        <v>272</v>
      </c>
    </row>
    <row r="13" spans="1:8">
      <c r="A13" s="10" t="s">
        <v>171</v>
      </c>
      <c r="B13" s="10" t="s">
        <v>273</v>
      </c>
      <c r="C13" s="39"/>
      <c r="D13" s="39"/>
      <c r="E13" s="39"/>
      <c r="F13" s="39"/>
      <c r="G13" s="39"/>
      <c r="H13" s="39">
        <f>+SUM(C13:G13)</f>
        <v>0</v>
      </c>
    </row>
    <row r="14" spans="1:8">
      <c r="A14" s="10" t="s">
        <v>172</v>
      </c>
      <c r="B14" s="10" t="s">
        <v>274</v>
      </c>
      <c r="C14" s="39"/>
      <c r="D14" s="39"/>
      <c r="E14" s="39"/>
      <c r="F14" s="39"/>
      <c r="G14" s="39"/>
      <c r="H14" s="39">
        <f t="shared" ref="H14:H38" si="0">+SUM(C14:G14)</f>
        <v>0</v>
      </c>
    </row>
    <row r="15" spans="1:8">
      <c r="A15" s="10" t="s">
        <v>173</v>
      </c>
      <c r="B15" s="10" t="s">
        <v>275</v>
      </c>
      <c r="C15" s="39"/>
      <c r="D15" s="39"/>
      <c r="E15" s="39"/>
      <c r="F15" s="39"/>
      <c r="G15" s="39"/>
      <c r="H15" s="39">
        <f t="shared" si="0"/>
        <v>0</v>
      </c>
    </row>
    <row r="16" spans="1:8">
      <c r="A16" s="10" t="s">
        <v>194</v>
      </c>
      <c r="B16" s="10" t="s">
        <v>276</v>
      </c>
      <c r="C16" s="39"/>
      <c r="D16" s="39"/>
      <c r="E16" s="39"/>
      <c r="F16" s="39"/>
      <c r="G16" s="39"/>
      <c r="H16" s="39">
        <f t="shared" si="0"/>
        <v>0</v>
      </c>
    </row>
    <row r="17" spans="1:8">
      <c r="A17" s="10" t="s">
        <v>195</v>
      </c>
      <c r="B17" s="10" t="s">
        <v>277</v>
      </c>
      <c r="C17" s="39"/>
      <c r="D17" s="39"/>
      <c r="E17" s="39"/>
      <c r="F17" s="39"/>
      <c r="G17" s="39"/>
      <c r="H17" s="39">
        <f t="shared" si="0"/>
        <v>0</v>
      </c>
    </row>
    <row r="18" spans="1:8">
      <c r="A18" s="10" t="s">
        <v>196</v>
      </c>
      <c r="B18" s="10" t="s">
        <v>278</v>
      </c>
      <c r="C18" s="39"/>
      <c r="D18" s="39"/>
      <c r="E18" s="39"/>
      <c r="F18" s="39"/>
      <c r="G18" s="39"/>
      <c r="H18" s="39">
        <f t="shared" si="0"/>
        <v>0</v>
      </c>
    </row>
    <row r="19" spans="1:8">
      <c r="A19" s="10" t="s">
        <v>197</v>
      </c>
      <c r="B19" s="10" t="s">
        <v>279</v>
      </c>
      <c r="C19" s="39"/>
      <c r="D19" s="39"/>
      <c r="E19" s="39"/>
      <c r="F19" s="39"/>
      <c r="G19" s="39"/>
      <c r="H19" s="39">
        <f t="shared" si="0"/>
        <v>0</v>
      </c>
    </row>
    <row r="20" spans="1:8">
      <c r="A20" s="10" t="s">
        <v>198</v>
      </c>
      <c r="B20" s="10" t="s">
        <v>280</v>
      </c>
      <c r="C20" s="39"/>
      <c r="D20" s="39"/>
      <c r="E20" s="39"/>
      <c r="F20" s="39"/>
      <c r="G20" s="39"/>
      <c r="H20" s="39">
        <f t="shared" si="0"/>
        <v>0</v>
      </c>
    </row>
    <row r="21" spans="1:8">
      <c r="A21" s="10" t="s">
        <v>199</v>
      </c>
      <c r="B21" s="10" t="s">
        <v>281</v>
      </c>
      <c r="C21" s="39"/>
      <c r="D21" s="39"/>
      <c r="E21" s="39"/>
      <c r="F21" s="39"/>
      <c r="G21" s="39"/>
      <c r="H21" s="39">
        <f t="shared" si="0"/>
        <v>0</v>
      </c>
    </row>
    <row r="22" spans="1:8">
      <c r="A22" s="10" t="s">
        <v>200</v>
      </c>
      <c r="B22" s="10" t="s">
        <v>282</v>
      </c>
      <c r="C22" s="39"/>
      <c r="D22" s="39"/>
      <c r="E22" s="39"/>
      <c r="F22" s="39"/>
      <c r="G22" s="39"/>
      <c r="H22" s="39">
        <f t="shared" si="0"/>
        <v>0</v>
      </c>
    </row>
    <row r="23" spans="1:8">
      <c r="A23" s="10" t="s">
        <v>201</v>
      </c>
      <c r="B23" s="10" t="s">
        <v>283</v>
      </c>
      <c r="C23" s="39"/>
      <c r="D23" s="39"/>
      <c r="E23" s="39"/>
      <c r="F23" s="39"/>
      <c r="G23" s="39"/>
      <c r="H23" s="39">
        <f t="shared" si="0"/>
        <v>0</v>
      </c>
    </row>
    <row r="24" spans="1:8">
      <c r="A24" s="10" t="s">
        <v>202</v>
      </c>
      <c r="B24" s="10" t="s">
        <v>284</v>
      </c>
      <c r="C24" s="39"/>
      <c r="D24" s="39"/>
      <c r="E24" s="39"/>
      <c r="F24" s="39"/>
      <c r="G24" s="39"/>
      <c r="H24" s="39">
        <f t="shared" si="0"/>
        <v>0</v>
      </c>
    </row>
    <row r="25" spans="1:8">
      <c r="A25" s="10" t="s">
        <v>203</v>
      </c>
      <c r="B25" s="10" t="s">
        <v>285</v>
      </c>
      <c r="C25" s="39"/>
      <c r="D25" s="39"/>
      <c r="E25" s="39"/>
      <c r="F25" s="39"/>
      <c r="G25" s="39"/>
      <c r="H25" s="39">
        <f t="shared" si="0"/>
        <v>0</v>
      </c>
    </row>
    <row r="26" spans="1:8">
      <c r="A26" s="10" t="s">
        <v>204</v>
      </c>
      <c r="B26" s="10" t="s">
        <v>286</v>
      </c>
      <c r="C26" s="39"/>
      <c r="D26" s="39"/>
      <c r="E26" s="39"/>
      <c r="F26" s="39"/>
      <c r="G26" s="39"/>
      <c r="H26" s="39">
        <f t="shared" si="0"/>
        <v>0</v>
      </c>
    </row>
    <row r="27" spans="1:8">
      <c r="A27" s="10" t="s">
        <v>205</v>
      </c>
      <c r="B27" s="10" t="s">
        <v>287</v>
      </c>
      <c r="C27" s="39"/>
      <c r="D27" s="39"/>
      <c r="E27" s="39"/>
      <c r="F27" s="39"/>
      <c r="G27" s="39"/>
      <c r="H27" s="39">
        <f t="shared" si="0"/>
        <v>0</v>
      </c>
    </row>
    <row r="28" spans="1:8">
      <c r="A28" s="10" t="s">
        <v>206</v>
      </c>
      <c r="B28" s="10" t="s">
        <v>288</v>
      </c>
      <c r="C28" s="39"/>
      <c r="D28" s="39"/>
      <c r="E28" s="39"/>
      <c r="F28" s="39"/>
      <c r="G28" s="39"/>
      <c r="H28" s="39">
        <f t="shared" si="0"/>
        <v>0</v>
      </c>
    </row>
    <row r="29" spans="1:8">
      <c r="A29" s="10" t="s">
        <v>207</v>
      </c>
      <c r="B29" s="10" t="s">
        <v>289</v>
      </c>
      <c r="C29" s="39"/>
      <c r="D29" s="39"/>
      <c r="E29" s="39"/>
      <c r="F29" s="39"/>
      <c r="G29" s="39"/>
      <c r="H29" s="39">
        <f t="shared" si="0"/>
        <v>0</v>
      </c>
    </row>
    <row r="30" spans="1:8">
      <c r="A30" s="10" t="s">
        <v>209</v>
      </c>
      <c r="B30" s="10" t="s">
        <v>290</v>
      </c>
      <c r="C30" s="39"/>
      <c r="D30" s="39"/>
      <c r="E30" s="39"/>
      <c r="F30" s="39"/>
      <c r="G30" s="39"/>
      <c r="H30" s="39">
        <f t="shared" si="0"/>
        <v>0</v>
      </c>
    </row>
    <row r="31" spans="1:8">
      <c r="A31" s="10" t="s">
        <v>208</v>
      </c>
      <c r="B31" s="10" t="s">
        <v>291</v>
      </c>
      <c r="C31" s="39"/>
      <c r="D31" s="39"/>
      <c r="E31" s="39"/>
      <c r="F31" s="39"/>
      <c r="G31" s="39"/>
      <c r="H31" s="39">
        <f t="shared" si="0"/>
        <v>0</v>
      </c>
    </row>
    <row r="32" spans="1:8">
      <c r="A32" s="10" t="s">
        <v>210</v>
      </c>
      <c r="B32" s="10" t="s">
        <v>211</v>
      </c>
      <c r="C32" s="39"/>
      <c r="D32" s="39"/>
      <c r="E32" s="39"/>
      <c r="F32" s="39"/>
      <c r="G32" s="39"/>
      <c r="H32" s="39">
        <f t="shared" si="0"/>
        <v>0</v>
      </c>
    </row>
    <row r="33" spans="1:8">
      <c r="A33" s="10" t="s">
        <v>214</v>
      </c>
      <c r="B33" s="10" t="s">
        <v>215</v>
      </c>
      <c r="C33" s="39"/>
      <c r="D33" s="39"/>
      <c r="E33" s="39"/>
      <c r="F33" s="39"/>
      <c r="G33" s="39"/>
      <c r="H33" s="39">
        <f t="shared" si="0"/>
        <v>0</v>
      </c>
    </row>
    <row r="34" spans="1:8">
      <c r="A34" s="10" t="s">
        <v>213</v>
      </c>
      <c r="B34" s="10" t="s">
        <v>292</v>
      </c>
      <c r="C34" s="39"/>
      <c r="D34" s="39"/>
      <c r="E34" s="39"/>
      <c r="F34" s="39"/>
      <c r="G34" s="39"/>
      <c r="H34" s="39">
        <f t="shared" si="0"/>
        <v>0</v>
      </c>
    </row>
    <row r="35" spans="1:8">
      <c r="A35" s="10" t="s">
        <v>212</v>
      </c>
      <c r="B35" s="10" t="s">
        <v>293</v>
      </c>
      <c r="C35" s="39"/>
      <c r="D35" s="39"/>
      <c r="E35" s="39"/>
      <c r="F35" s="39"/>
      <c r="G35" s="39"/>
      <c r="H35" s="39">
        <f t="shared" si="0"/>
        <v>0</v>
      </c>
    </row>
    <row r="36" spans="1:8">
      <c r="A36" s="10" t="s">
        <v>216</v>
      </c>
      <c r="B36" s="10" t="s">
        <v>294</v>
      </c>
      <c r="C36" s="39"/>
      <c r="D36" s="39"/>
      <c r="E36" s="39"/>
      <c r="F36" s="39"/>
      <c r="G36" s="39"/>
      <c r="H36" s="39">
        <f t="shared" si="0"/>
        <v>0</v>
      </c>
    </row>
    <row r="37" spans="1:8">
      <c r="A37" s="10" t="s">
        <v>217</v>
      </c>
      <c r="B37" s="10" t="s">
        <v>295</v>
      </c>
      <c r="C37" s="40"/>
      <c r="D37" s="40"/>
      <c r="E37" s="40"/>
      <c r="F37" s="40"/>
      <c r="G37" s="39"/>
      <c r="H37" s="40">
        <f t="shared" si="0"/>
        <v>0</v>
      </c>
    </row>
    <row r="38" spans="1:8">
      <c r="B38" s="10" t="s">
        <v>296</v>
      </c>
      <c r="C38" s="39">
        <f>+SUM(C13:C37)</f>
        <v>0</v>
      </c>
      <c r="D38" s="39">
        <f>+SUM(D13:D37)</f>
        <v>0</v>
      </c>
      <c r="E38" s="39">
        <f>+SUM(E13:E37)</f>
        <v>0</v>
      </c>
      <c r="F38" s="39">
        <f>+SUM(F13:F37)</f>
        <v>0</v>
      </c>
      <c r="G38" s="39"/>
      <c r="H38" s="39">
        <f t="shared" si="0"/>
        <v>0</v>
      </c>
    </row>
    <row r="39" spans="1:8">
      <c r="C39" s="39"/>
      <c r="D39" s="39"/>
      <c r="E39" s="39"/>
      <c r="F39" s="39"/>
      <c r="G39" s="39"/>
      <c r="H39" s="39"/>
    </row>
    <row r="40" spans="1:8">
      <c r="A40" s="10" t="s">
        <v>297</v>
      </c>
      <c r="C40" s="39"/>
      <c r="D40" s="39"/>
      <c r="E40" s="39"/>
      <c r="F40" s="39"/>
      <c r="G40" s="39"/>
      <c r="H40" s="39"/>
    </row>
    <row r="41" spans="1:8">
      <c r="A41" s="10" t="s">
        <v>218</v>
      </c>
      <c r="B41" s="10" t="s">
        <v>298</v>
      </c>
      <c r="C41" s="39"/>
      <c r="D41" s="39"/>
      <c r="E41" s="39"/>
      <c r="F41" s="39"/>
      <c r="G41" s="39"/>
      <c r="H41" s="39">
        <f t="shared" ref="H41:H49" si="1">+SUM(C41:G41)</f>
        <v>0</v>
      </c>
    </row>
    <row r="42" spans="1:8">
      <c r="A42" s="10" t="s">
        <v>219</v>
      </c>
      <c r="B42" s="10" t="s">
        <v>220</v>
      </c>
      <c r="C42" s="39"/>
      <c r="D42" s="39"/>
      <c r="E42" s="39"/>
      <c r="F42" s="39"/>
      <c r="G42" s="39"/>
      <c r="H42" s="39">
        <f t="shared" si="1"/>
        <v>0</v>
      </c>
    </row>
    <row r="43" spans="1:8">
      <c r="A43" s="10" t="s">
        <v>221</v>
      </c>
      <c r="B43" s="10" t="s">
        <v>222</v>
      </c>
      <c r="C43" s="39"/>
      <c r="D43" s="39"/>
      <c r="E43" s="39"/>
      <c r="F43" s="39"/>
      <c r="G43" s="39"/>
      <c r="H43" s="39">
        <f t="shared" si="1"/>
        <v>0</v>
      </c>
    </row>
    <row r="44" spans="1:8">
      <c r="A44" s="10" t="s">
        <v>223</v>
      </c>
      <c r="B44" s="10" t="s">
        <v>299</v>
      </c>
      <c r="C44" s="39"/>
      <c r="D44" s="39"/>
      <c r="E44" s="39"/>
      <c r="F44" s="39"/>
      <c r="G44" s="39"/>
      <c r="H44" s="39">
        <f t="shared" si="1"/>
        <v>0</v>
      </c>
    </row>
    <row r="45" spans="1:8">
      <c r="A45" s="10" t="s">
        <v>224</v>
      </c>
      <c r="B45" s="10" t="s">
        <v>225</v>
      </c>
      <c r="C45" s="39"/>
      <c r="D45" s="39"/>
      <c r="E45" s="39"/>
      <c r="F45" s="39"/>
      <c r="G45" s="39"/>
      <c r="H45" s="39">
        <f t="shared" si="1"/>
        <v>0</v>
      </c>
    </row>
    <row r="46" spans="1:8">
      <c r="A46" s="10" t="s">
        <v>226</v>
      </c>
      <c r="B46" s="10" t="s">
        <v>227</v>
      </c>
      <c r="C46" s="39"/>
      <c r="D46" s="39"/>
      <c r="E46" s="39"/>
      <c r="F46" s="39"/>
      <c r="G46" s="39"/>
      <c r="H46" s="39">
        <f t="shared" si="1"/>
        <v>0</v>
      </c>
    </row>
    <row r="47" spans="1:8">
      <c r="A47" s="10" t="s">
        <v>228</v>
      </c>
      <c r="B47" s="10" t="s">
        <v>300</v>
      </c>
      <c r="C47" s="39"/>
      <c r="D47" s="39"/>
      <c r="E47" s="39"/>
      <c r="F47" s="39"/>
      <c r="G47" s="39"/>
      <c r="H47" s="39">
        <f t="shared" si="1"/>
        <v>0</v>
      </c>
    </row>
    <row r="48" spans="1:8">
      <c r="A48" s="10" t="s">
        <v>229</v>
      </c>
      <c r="B48" s="10" t="s">
        <v>301</v>
      </c>
      <c r="C48" s="40"/>
      <c r="D48" s="40"/>
      <c r="E48" s="40"/>
      <c r="F48" s="40"/>
      <c r="G48" s="39"/>
      <c r="H48" s="40">
        <f t="shared" si="1"/>
        <v>0</v>
      </c>
    </row>
    <row r="49" spans="1:8">
      <c r="B49" s="10" t="s">
        <v>302</v>
      </c>
      <c r="C49" s="39">
        <f>+SUM(C41:C48)</f>
        <v>0</v>
      </c>
      <c r="D49" s="39">
        <f>+SUM(D41:D48)</f>
        <v>0</v>
      </c>
      <c r="E49" s="39">
        <f>+SUM(E41:E48)</f>
        <v>0</v>
      </c>
      <c r="F49" s="39">
        <f>+SUM(F41:F48)</f>
        <v>0</v>
      </c>
      <c r="G49" s="39"/>
      <c r="H49" s="39">
        <f t="shared" si="1"/>
        <v>0</v>
      </c>
    </row>
    <row r="50" spans="1:8">
      <c r="C50" s="39"/>
      <c r="D50" s="39"/>
      <c r="E50" s="39"/>
      <c r="F50" s="39"/>
      <c r="G50" s="39"/>
      <c r="H50" s="39"/>
    </row>
    <row r="51" spans="1:8">
      <c r="A51" s="10" t="s">
        <v>303</v>
      </c>
      <c r="C51" s="39"/>
      <c r="D51" s="39"/>
      <c r="E51" s="39"/>
      <c r="F51" s="39"/>
      <c r="G51" s="39"/>
      <c r="H51" s="39"/>
    </row>
    <row r="52" spans="1:8">
      <c r="A52" s="10" t="s">
        <v>304</v>
      </c>
      <c r="C52" s="39"/>
      <c r="D52" s="39"/>
      <c r="E52" s="39"/>
      <c r="F52" s="39"/>
      <c r="G52" s="39"/>
      <c r="H52" s="39"/>
    </row>
    <row r="53" spans="1:8">
      <c r="A53" s="10" t="s">
        <v>230</v>
      </c>
      <c r="B53" s="10" t="s">
        <v>407</v>
      </c>
      <c r="C53" s="39"/>
      <c r="D53" s="39"/>
      <c r="E53" s="39"/>
      <c r="F53" s="39"/>
      <c r="G53" s="39"/>
      <c r="H53" s="39">
        <f t="shared" ref="H53:H66" si="2">+SUM(C53:G53)</f>
        <v>0</v>
      </c>
    </row>
    <row r="54" spans="1:8">
      <c r="A54" s="10" t="s">
        <v>231</v>
      </c>
      <c r="B54" s="10" t="s">
        <v>408</v>
      </c>
      <c r="C54" s="39"/>
      <c r="D54" s="39"/>
      <c r="E54" s="39"/>
      <c r="F54" s="39"/>
      <c r="G54" s="39"/>
      <c r="H54" s="39">
        <f t="shared" si="2"/>
        <v>0</v>
      </c>
    </row>
    <row r="55" spans="1:8">
      <c r="A55" s="10" t="s">
        <v>232</v>
      </c>
      <c r="B55" s="10" t="s">
        <v>409</v>
      </c>
      <c r="C55" s="39"/>
      <c r="D55" s="39"/>
      <c r="E55" s="39"/>
      <c r="F55" s="39"/>
      <c r="G55" s="39"/>
      <c r="H55" s="39">
        <f t="shared" si="2"/>
        <v>0</v>
      </c>
    </row>
    <row r="56" spans="1:8">
      <c r="A56" s="10" t="s">
        <v>233</v>
      </c>
      <c r="B56" s="10" t="s">
        <v>305</v>
      </c>
      <c r="C56" s="39"/>
      <c r="D56" s="39"/>
      <c r="E56" s="39"/>
      <c r="F56" s="39"/>
      <c r="G56" s="39"/>
      <c r="H56" s="39">
        <f t="shared" si="2"/>
        <v>0</v>
      </c>
    </row>
    <row r="57" spans="1:8">
      <c r="A57" s="10" t="s">
        <v>234</v>
      </c>
      <c r="B57" s="10" t="s">
        <v>306</v>
      </c>
      <c r="C57" s="39"/>
      <c r="D57" s="39"/>
      <c r="E57" s="39"/>
      <c r="F57" s="39"/>
      <c r="G57" s="39"/>
      <c r="H57" s="39">
        <f t="shared" si="2"/>
        <v>0</v>
      </c>
    </row>
    <row r="58" spans="1:8">
      <c r="A58" s="10" t="s">
        <v>0</v>
      </c>
      <c r="B58" s="10" t="s">
        <v>307</v>
      </c>
      <c r="C58" s="39"/>
      <c r="D58" s="39"/>
      <c r="E58" s="39"/>
      <c r="F58" s="39"/>
      <c r="G58" s="39"/>
      <c r="H58" s="39">
        <f t="shared" si="2"/>
        <v>0</v>
      </c>
    </row>
    <row r="59" spans="1:8">
      <c r="A59" s="10" t="s">
        <v>1</v>
      </c>
      <c r="B59" s="10" t="s">
        <v>308</v>
      </c>
      <c r="C59" s="39"/>
      <c r="D59" s="39"/>
      <c r="E59" s="39"/>
      <c r="F59" s="39"/>
      <c r="G59" s="39"/>
      <c r="H59" s="39">
        <f t="shared" si="2"/>
        <v>0</v>
      </c>
    </row>
    <row r="60" spans="1:8">
      <c r="A60" s="10" t="s">
        <v>3</v>
      </c>
      <c r="B60" s="10" t="s">
        <v>2</v>
      </c>
      <c r="C60" s="39"/>
      <c r="D60" s="39"/>
      <c r="E60" s="39"/>
      <c r="F60" s="39"/>
      <c r="G60" s="39"/>
      <c r="H60" s="39">
        <f t="shared" si="2"/>
        <v>0</v>
      </c>
    </row>
    <row r="61" spans="1:8">
      <c r="A61" s="10" t="s">
        <v>4</v>
      </c>
      <c r="B61" s="10" t="s">
        <v>5</v>
      </c>
      <c r="C61" s="39"/>
      <c r="D61" s="39"/>
      <c r="E61" s="39"/>
      <c r="F61" s="39"/>
      <c r="G61" s="39"/>
      <c r="H61" s="39">
        <f t="shared" si="2"/>
        <v>0</v>
      </c>
    </row>
    <row r="62" spans="1:8">
      <c r="A62" s="10" t="s">
        <v>6</v>
      </c>
      <c r="B62" s="10" t="s">
        <v>7</v>
      </c>
      <c r="C62" s="39"/>
      <c r="D62" s="39"/>
      <c r="E62" s="39"/>
      <c r="F62" s="39"/>
      <c r="G62" s="39"/>
      <c r="H62" s="39">
        <f t="shared" si="2"/>
        <v>0</v>
      </c>
    </row>
    <row r="63" spans="1:8">
      <c r="A63" s="10" t="s">
        <v>8</v>
      </c>
      <c r="B63" s="10" t="s">
        <v>9</v>
      </c>
      <c r="C63" s="39"/>
      <c r="D63" s="39"/>
      <c r="E63" s="39"/>
      <c r="F63" s="39"/>
      <c r="G63" s="39"/>
      <c r="H63" s="39">
        <f t="shared" si="2"/>
        <v>0</v>
      </c>
    </row>
    <row r="64" spans="1:8">
      <c r="A64" s="10" t="s">
        <v>11</v>
      </c>
      <c r="B64" s="10" t="s">
        <v>310</v>
      </c>
      <c r="C64" s="39"/>
      <c r="D64" s="39"/>
      <c r="E64" s="39"/>
      <c r="F64" s="39"/>
      <c r="G64" s="39"/>
      <c r="H64" s="39">
        <f t="shared" si="2"/>
        <v>0</v>
      </c>
    </row>
    <row r="65" spans="1:9">
      <c r="A65" s="10" t="s">
        <v>10</v>
      </c>
      <c r="B65" s="10" t="s">
        <v>309</v>
      </c>
      <c r="C65" s="40"/>
      <c r="D65" s="40"/>
      <c r="E65" s="40"/>
      <c r="F65" s="40"/>
      <c r="G65" s="39"/>
      <c r="H65" s="40">
        <f t="shared" si="2"/>
        <v>0</v>
      </c>
    </row>
    <row r="66" spans="1:9">
      <c r="B66" s="10" t="s">
        <v>311</v>
      </c>
      <c r="C66" s="39">
        <f>+SUM(C53:C65)</f>
        <v>0</v>
      </c>
      <c r="D66" s="39">
        <f>+SUM(D53:D65)</f>
        <v>0</v>
      </c>
      <c r="E66" s="39">
        <f>+SUM(E53:E65)</f>
        <v>0</v>
      </c>
      <c r="F66" s="39">
        <f>+SUM(F53:F65)</f>
        <v>0</v>
      </c>
      <c r="G66" s="39"/>
      <c r="H66" s="39">
        <f t="shared" si="2"/>
        <v>0</v>
      </c>
    </row>
    <row r="67" spans="1:9">
      <c r="C67" s="39"/>
      <c r="D67" s="39"/>
      <c r="E67" s="39"/>
      <c r="F67" s="39"/>
      <c r="G67" s="39"/>
      <c r="H67" s="39"/>
    </row>
    <row r="68" spans="1:9" s="4" customFormat="1" ht="10.5">
      <c r="A68" s="14"/>
      <c r="B68" s="14" t="s">
        <v>312</v>
      </c>
      <c r="C68" s="41">
        <f>+C66+C49+C38</f>
        <v>0</v>
      </c>
      <c r="D68" s="41">
        <f>+D66+D49+D38</f>
        <v>0</v>
      </c>
      <c r="E68" s="41">
        <f>+E66+E49+E38</f>
        <v>0</v>
      </c>
      <c r="F68" s="41">
        <f>+F66+F49+F38</f>
        <v>0</v>
      </c>
      <c r="G68" s="41"/>
      <c r="H68" s="41">
        <f>+SUM(C68:G68)</f>
        <v>0</v>
      </c>
    </row>
    <row r="69" spans="1:9">
      <c r="C69" s="39"/>
      <c r="D69" s="39"/>
      <c r="E69" s="39"/>
      <c r="F69" s="39"/>
      <c r="G69" s="39"/>
      <c r="H69" s="39"/>
    </row>
    <row r="70" spans="1:9">
      <c r="A70" s="10" t="s">
        <v>313</v>
      </c>
      <c r="C70" s="39"/>
      <c r="D70" s="39"/>
      <c r="E70" s="39"/>
      <c r="F70" s="39"/>
      <c r="G70" s="39"/>
      <c r="H70" s="39"/>
    </row>
    <row r="71" spans="1:9">
      <c r="A71" s="10" t="s">
        <v>314</v>
      </c>
      <c r="C71" s="39"/>
      <c r="D71" s="39"/>
      <c r="E71" s="39"/>
      <c r="F71" s="39"/>
      <c r="G71" s="39"/>
      <c r="H71" s="39"/>
    </row>
    <row r="72" spans="1:9">
      <c r="A72" s="10" t="s">
        <v>19</v>
      </c>
      <c r="B72" s="10" t="s">
        <v>323</v>
      </c>
      <c r="C72" s="54">
        <f ca="1">SUM('12-2013 Ret Emp'!I79)</f>
        <v>60395.602087724852</v>
      </c>
      <c r="D72" s="39"/>
      <c r="E72" s="39"/>
      <c r="F72" s="39"/>
      <c r="G72" s="39"/>
      <c r="H72" s="39">
        <f>+SUM(C72:G72)</f>
        <v>60395.602087724852</v>
      </c>
      <c r="I72" s="10"/>
    </row>
    <row r="73" spans="1:9">
      <c r="A73" s="10" t="s">
        <v>12</v>
      </c>
      <c r="B73" s="10" t="s">
        <v>315</v>
      </c>
      <c r="C73" s="39"/>
      <c r="D73" s="39"/>
      <c r="E73" s="39"/>
      <c r="F73" s="39"/>
      <c r="G73" s="39"/>
      <c r="H73" s="39">
        <f t="shared" ref="H73:H80" si="3">+SUM(C73:G73)</f>
        <v>0</v>
      </c>
      <c r="I73" s="10"/>
    </row>
    <row r="74" spans="1:9">
      <c r="A74" s="10" t="s">
        <v>13</v>
      </c>
      <c r="B74" s="10" t="s">
        <v>316</v>
      </c>
      <c r="C74" s="39"/>
      <c r="D74" s="39"/>
      <c r="E74" s="39"/>
      <c r="F74" s="39"/>
      <c r="G74" s="39"/>
      <c r="H74" s="39">
        <f t="shared" si="3"/>
        <v>0</v>
      </c>
      <c r="I74" s="10"/>
    </row>
    <row r="75" spans="1:9">
      <c r="A75" s="10" t="s">
        <v>14</v>
      </c>
      <c r="B75" s="10" t="s">
        <v>317</v>
      </c>
      <c r="C75" s="39"/>
      <c r="D75" s="39"/>
      <c r="E75" s="39"/>
      <c r="F75" s="39"/>
      <c r="G75" s="39"/>
      <c r="H75" s="39">
        <f t="shared" si="3"/>
        <v>0</v>
      </c>
      <c r="I75" s="10"/>
    </row>
    <row r="76" spans="1:9">
      <c r="A76" s="10" t="s">
        <v>15</v>
      </c>
      <c r="B76" s="10" t="s">
        <v>318</v>
      </c>
      <c r="C76" s="39"/>
      <c r="D76" s="39"/>
      <c r="E76" s="39"/>
      <c r="F76" s="39"/>
      <c r="G76" s="39"/>
      <c r="H76" s="39">
        <f t="shared" si="3"/>
        <v>0</v>
      </c>
      <c r="I76" s="10"/>
    </row>
    <row r="77" spans="1:9">
      <c r="A77" s="10" t="s">
        <v>16</v>
      </c>
      <c r="B77" s="10" t="s">
        <v>319</v>
      </c>
      <c r="C77" s="39"/>
      <c r="D77" s="39"/>
      <c r="E77" s="39"/>
      <c r="F77" s="39"/>
      <c r="G77" s="39"/>
      <c r="H77" s="39">
        <f t="shared" si="3"/>
        <v>0</v>
      </c>
      <c r="I77" s="10"/>
    </row>
    <row r="78" spans="1:9">
      <c r="A78" s="10" t="s">
        <v>17</v>
      </c>
      <c r="B78" s="10" t="s">
        <v>320</v>
      </c>
      <c r="C78" s="39"/>
      <c r="D78" s="39">
        <f ca="1">SUM('12-2013 Ret Emp'!I65*2080+'12-2013 Ret Emp'!I66*2080+'12-2013 Ret Emp'!I67*2080)</f>
        <v>60522.8</v>
      </c>
      <c r="E78" s="39">
        <f ca="1">SUM('12-2013 Ret Emp'!I97*1850)</f>
        <v>17149.5</v>
      </c>
      <c r="F78" s="39">
        <f ca="1">+'FC-SCH'!D43</f>
        <v>18273.761039160003</v>
      </c>
      <c r="G78" s="39"/>
      <c r="H78" s="39">
        <f t="shared" si="3"/>
        <v>95946.061039160006</v>
      </c>
      <c r="I78" s="10"/>
    </row>
    <row r="79" spans="1:9" ht="14.25" customHeight="1">
      <c r="A79" s="10" t="s">
        <v>18</v>
      </c>
      <c r="B79" s="10" t="s">
        <v>322</v>
      </c>
      <c r="C79" s="55"/>
      <c r="D79" s="55">
        <f ca="1">SUM('12-2013 Ret Emp'!I68*2080+'12-2013 Ret Emp'!I69*2080)</f>
        <v>57566.288</v>
      </c>
      <c r="E79" s="40">
        <f ca="1">SUM('12-2013 Ret Emp'!I96*2080)</f>
        <v>27058.512000000002</v>
      </c>
      <c r="F79" s="40">
        <f ca="1">+'FC-SCH'!D56</f>
        <v>18217.507453200004</v>
      </c>
      <c r="G79" s="39"/>
      <c r="H79" s="40">
        <f t="shared" si="3"/>
        <v>102842.3074532</v>
      </c>
      <c r="I79" s="10"/>
    </row>
    <row r="80" spans="1:9">
      <c r="B80" s="10" t="s">
        <v>24</v>
      </c>
      <c r="C80" s="39">
        <f>+SUM(C72:C79)</f>
        <v>60395.602087724852</v>
      </c>
      <c r="D80" s="39">
        <f>+SUM(D72:D79)</f>
        <v>118089.088</v>
      </c>
      <c r="E80" s="39">
        <f>+SUM(E72:E79)</f>
        <v>44208.012000000002</v>
      </c>
      <c r="F80" s="39">
        <f>+SUM(F72:F79)</f>
        <v>36491.268492360003</v>
      </c>
      <c r="G80" s="39"/>
      <c r="H80" s="39">
        <f t="shared" si="3"/>
        <v>259183.97058008489</v>
      </c>
      <c r="I80" s="10"/>
    </row>
    <row r="81" spans="1:8">
      <c r="C81" s="39"/>
      <c r="D81" s="39"/>
      <c r="E81" s="39"/>
      <c r="F81" s="39"/>
      <c r="G81" s="39"/>
      <c r="H81" s="39"/>
    </row>
    <row r="82" spans="1:8">
      <c r="C82" s="39"/>
      <c r="D82" s="39"/>
      <c r="E82" s="39"/>
      <c r="F82" s="39"/>
      <c r="G82" s="39"/>
      <c r="H82" s="39"/>
    </row>
    <row r="83" spans="1:8">
      <c r="A83" s="10" t="s">
        <v>325</v>
      </c>
      <c r="C83" s="39"/>
      <c r="D83" s="39"/>
      <c r="E83" s="39"/>
      <c r="F83" s="39"/>
      <c r="G83" s="39"/>
      <c r="H83" s="39"/>
    </row>
    <row r="84" spans="1:8">
      <c r="A84" s="10" t="s">
        <v>20</v>
      </c>
      <c r="B84" s="10" t="s">
        <v>324</v>
      </c>
      <c r="C84" s="39"/>
      <c r="D84" s="39"/>
      <c r="E84" s="39"/>
      <c r="F84" s="39"/>
      <c r="G84" s="39"/>
      <c r="H84" s="39">
        <f>+SUM(C84:G84)</f>
        <v>0</v>
      </c>
    </row>
    <row r="85" spans="1:8">
      <c r="A85" s="10" t="s">
        <v>440</v>
      </c>
      <c r="B85" s="10" t="s">
        <v>441</v>
      </c>
      <c r="C85" s="39"/>
      <c r="D85" s="39">
        <v>10000</v>
      </c>
      <c r="E85" s="39">
        <v>4000</v>
      </c>
      <c r="F85" s="39">
        <v>4000</v>
      </c>
      <c r="G85" s="39"/>
      <c r="H85" s="39">
        <f>+SUM(C85:G85)</f>
        <v>18000</v>
      </c>
    </row>
    <row r="86" spans="1:8">
      <c r="A86" s="10" t="s">
        <v>21</v>
      </c>
      <c r="B86" s="10" t="s">
        <v>325</v>
      </c>
      <c r="C86" s="39"/>
      <c r="D86" s="39"/>
      <c r="E86" s="39"/>
      <c r="F86" s="39"/>
      <c r="G86" s="39"/>
      <c r="H86" s="39">
        <f>+SUM(C86:G86)</f>
        <v>0</v>
      </c>
    </row>
    <row r="87" spans="1:8">
      <c r="A87" s="10" t="s">
        <v>22</v>
      </c>
      <c r="B87" s="10" t="s">
        <v>23</v>
      </c>
      <c r="C87" s="40"/>
      <c r="D87" s="40"/>
      <c r="E87" s="40"/>
      <c r="F87" s="40"/>
      <c r="G87" s="39"/>
      <c r="H87" s="40">
        <f>+SUM(C87:G87)</f>
        <v>0</v>
      </c>
    </row>
    <row r="88" spans="1:8">
      <c r="B88" s="10" t="s">
        <v>326</v>
      </c>
      <c r="C88" s="39">
        <f>+SUM(C84:C87)</f>
        <v>0</v>
      </c>
      <c r="D88" s="39">
        <f>+SUM(D84:D87)</f>
        <v>10000</v>
      </c>
      <c r="E88" s="39">
        <f>+SUM(E84:E87)</f>
        <v>4000</v>
      </c>
      <c r="F88" s="39">
        <f>+SUM(F84:F87)</f>
        <v>4000</v>
      </c>
      <c r="G88" s="39"/>
      <c r="H88" s="39">
        <f>+SUM(C88:G88)</f>
        <v>18000</v>
      </c>
    </row>
    <row r="89" spans="1:8">
      <c r="C89" s="39"/>
      <c r="D89" s="39"/>
      <c r="E89" s="39"/>
      <c r="F89" s="39"/>
      <c r="G89" s="39"/>
      <c r="H89" s="39"/>
    </row>
    <row r="90" spans="1:8">
      <c r="B90" s="10" t="s">
        <v>327</v>
      </c>
      <c r="C90" s="39">
        <f>+C80+C88</f>
        <v>60395.602087724852</v>
      </c>
      <c r="D90" s="39">
        <f>+D80+D88</f>
        <v>128089.088</v>
      </c>
      <c r="E90" s="39">
        <f>+E80+E88</f>
        <v>48208.012000000002</v>
      </c>
      <c r="F90" s="39">
        <f>+F80+F88</f>
        <v>40491.268492360003</v>
      </c>
      <c r="G90" s="39"/>
      <c r="H90" s="39">
        <f>+SUM(C90:G90)</f>
        <v>277183.97058008489</v>
      </c>
    </row>
    <row r="91" spans="1:8">
      <c r="C91" s="39"/>
      <c r="D91" s="39"/>
      <c r="E91" s="39"/>
      <c r="F91" s="39"/>
      <c r="G91" s="39"/>
      <c r="H91" s="39"/>
    </row>
    <row r="92" spans="1:8">
      <c r="A92" s="10" t="s">
        <v>328</v>
      </c>
      <c r="C92" s="39"/>
      <c r="D92" s="39"/>
      <c r="E92" s="39"/>
      <c r="F92" s="39"/>
      <c r="G92" s="39"/>
      <c r="H92" s="39"/>
    </row>
    <row r="93" spans="1:8">
      <c r="A93" s="10" t="s">
        <v>25</v>
      </c>
      <c r="B93" s="10" t="s">
        <v>33</v>
      </c>
      <c r="C93" s="39">
        <f>+C$7*139.64*2*1.05*12</f>
        <v>3518.9279999999999</v>
      </c>
      <c r="D93" s="39">
        <f>+D$7*139.64*2*1.05*12</f>
        <v>17594.64</v>
      </c>
      <c r="E93" s="39">
        <f>+E$7*139.64*2*1.05*12</f>
        <v>7037.8559999999998</v>
      </c>
      <c r="F93" s="39">
        <f>+F$7*139.64*2*1.05*12</f>
        <v>7037.8559999999998</v>
      </c>
      <c r="G93" s="39"/>
      <c r="H93" s="39">
        <f t="shared" ref="H93:H102" si="4">+SUM(C93:G93)</f>
        <v>35189.279999999999</v>
      </c>
    </row>
    <row r="94" spans="1:8">
      <c r="A94" s="10" t="s">
        <v>26</v>
      </c>
      <c r="B94" s="10" t="s">
        <v>34</v>
      </c>
      <c r="C94" s="39">
        <f>+C$7*8.74*2*1.02*12</f>
        <v>213.95519999999999</v>
      </c>
      <c r="D94" s="39">
        <f>+D$7*8.74*2*1.02*12</f>
        <v>1069.7760000000001</v>
      </c>
      <c r="E94" s="39">
        <f>+E$7*8.74*2*1.02*12</f>
        <v>427.91039999999998</v>
      </c>
      <c r="F94" s="39">
        <f>+F$7*8.74*2*1.02*12</f>
        <v>427.91039999999998</v>
      </c>
      <c r="G94" s="39"/>
      <c r="H94" s="39">
        <f t="shared" si="4"/>
        <v>2139.5520000000001</v>
      </c>
    </row>
    <row r="95" spans="1:8">
      <c r="A95" s="10" t="s">
        <v>28</v>
      </c>
      <c r="B95" s="10" t="s">
        <v>27</v>
      </c>
      <c r="C95" s="39">
        <f>(+C$88-C$84+C$80)*0.062</f>
        <v>3744.5273294389408</v>
      </c>
      <c r="D95" s="39">
        <f>(+D$88-D$84+D$80)*0.062</f>
        <v>7941.5234559999999</v>
      </c>
      <c r="E95" s="39">
        <f>(+E$88-E$84+E$80)*0.062</f>
        <v>2988.8967440000001</v>
      </c>
      <c r="F95" s="39">
        <f>(+F$88-F$84+F$80)*0.062</f>
        <v>2510.4586465263201</v>
      </c>
      <c r="G95" s="39"/>
      <c r="H95" s="39">
        <f t="shared" si="4"/>
        <v>17185.406175965261</v>
      </c>
    </row>
    <row r="96" spans="1:8">
      <c r="A96" s="10" t="s">
        <v>30</v>
      </c>
      <c r="B96" s="10" t="s">
        <v>29</v>
      </c>
      <c r="C96" s="39">
        <f>(+C$88-C$84+C$80)*0.0145</f>
        <v>875.7362302720104</v>
      </c>
      <c r="D96" s="39">
        <f>(+D$88-D$84+D$80)*0.0145</f>
        <v>1857.2917760000003</v>
      </c>
      <c r="E96" s="39">
        <f>(+E$88-E$84+E$80)*0.0145</f>
        <v>699.01617400000009</v>
      </c>
      <c r="F96" s="39">
        <f>(+F$88-F$84+F$80)*0.0145</f>
        <v>587.12339313922007</v>
      </c>
      <c r="G96" s="39"/>
      <c r="H96" s="39">
        <f t="shared" si="4"/>
        <v>4019.1675734112305</v>
      </c>
    </row>
    <row r="97" spans="1:8">
      <c r="A97" s="10" t="s">
        <v>31</v>
      </c>
      <c r="B97" s="10" t="s">
        <v>32</v>
      </c>
      <c r="C97" s="39">
        <f>(+C$88-C$84+C$80)*0.06</f>
        <v>3623.736125263491</v>
      </c>
      <c r="D97" s="39">
        <f>(+D$88-D$84+D$80)*0.06</f>
        <v>7685.3452799999995</v>
      </c>
      <c r="E97" s="39">
        <f>(+E$88-E$84+E$80)*0.06</f>
        <v>2892.48072</v>
      </c>
      <c r="F97" s="39">
        <f>(+F$88-F$84+F$80)*0.06</f>
        <v>2429.4761095416002</v>
      </c>
      <c r="G97" s="39"/>
      <c r="H97" s="39">
        <f t="shared" si="4"/>
        <v>16631.038234805092</v>
      </c>
    </row>
    <row r="98" spans="1:8">
      <c r="A98" s="10" t="s">
        <v>36</v>
      </c>
      <c r="B98" s="10" t="s">
        <v>35</v>
      </c>
      <c r="C98" s="39">
        <f>(+C$88-C$84+C$80)*0.0056</f>
        <v>338.21537169125918</v>
      </c>
      <c r="D98" s="39">
        <f>(+D$88-D$84+D$80)*0.0056</f>
        <v>717.29889279999998</v>
      </c>
      <c r="E98" s="39">
        <f>(+E$88-E$84+E$80)*0.0056</f>
        <v>269.96486720000001</v>
      </c>
      <c r="F98" s="39">
        <f>(+F$88-F$84+F$80)*0.0056</f>
        <v>226.75110355721603</v>
      </c>
      <c r="G98" s="39"/>
      <c r="H98" s="39">
        <f t="shared" si="4"/>
        <v>1552.2302352484753</v>
      </c>
    </row>
    <row r="99" spans="1:8">
      <c r="A99" s="10" t="s">
        <v>38</v>
      </c>
      <c r="B99" s="10" t="s">
        <v>37</v>
      </c>
      <c r="C99" s="39">
        <f>+C$7*7700*0.0201</f>
        <v>154.77000000000001</v>
      </c>
      <c r="D99" s="39">
        <f>+D$7*7700*0.0201</f>
        <v>773.85</v>
      </c>
      <c r="E99" s="39">
        <f>+E$7*7700*0.0201</f>
        <v>309.54000000000002</v>
      </c>
      <c r="F99" s="39">
        <f>+F$7*7700*0.0201</f>
        <v>309.54000000000002</v>
      </c>
      <c r="G99" s="39"/>
      <c r="H99" s="39">
        <f t="shared" si="4"/>
        <v>1547.7</v>
      </c>
    </row>
    <row r="100" spans="1:8">
      <c r="A100" s="10" t="s">
        <v>83</v>
      </c>
      <c r="B100" s="10" t="s">
        <v>84</v>
      </c>
      <c r="C100" s="39"/>
      <c r="D100" s="39"/>
      <c r="E100" s="39"/>
      <c r="F100" s="39"/>
      <c r="G100" s="39"/>
      <c r="H100" s="39">
        <f>+SUM(C100:G100)</f>
        <v>0</v>
      </c>
    </row>
    <row r="101" spans="1:8">
      <c r="A101" s="10" t="s">
        <v>39</v>
      </c>
      <c r="B101" s="10" t="s">
        <v>40</v>
      </c>
      <c r="C101" s="40">
        <f>(+C$88-C$84+C$80)*(0.0024+0.0036+0.0013)</f>
        <v>440.8878952403914</v>
      </c>
      <c r="D101" s="40">
        <f>(+D$88-D$84+D$80)*(0.0024+0.0036+0.0013)</f>
        <v>935.05034239999998</v>
      </c>
      <c r="E101" s="40">
        <f>(+E$88-E$84+E$80)*(0.0024+0.0036+0.0013)</f>
        <v>351.91848760000005</v>
      </c>
      <c r="F101" s="40">
        <f>(+F$88-F$84+F$80)*(0.0024+0.0036+0.0013)</f>
        <v>295.58625999422804</v>
      </c>
      <c r="G101" s="39"/>
      <c r="H101" s="40">
        <f t="shared" si="4"/>
        <v>2023.4429852346193</v>
      </c>
    </row>
    <row r="102" spans="1:8">
      <c r="B102" s="10" t="s">
        <v>235</v>
      </c>
      <c r="C102" s="39">
        <f>+SUM(C93:C101)</f>
        <v>12910.756151906095</v>
      </c>
      <c r="D102" s="39">
        <f>+SUM(D93:D101)</f>
        <v>38574.775747199994</v>
      </c>
      <c r="E102" s="39">
        <f>+SUM(E93:E101)</f>
        <v>14977.583392800001</v>
      </c>
      <c r="F102" s="39">
        <f>+SUM(F93:F101)</f>
        <v>13824.701912758585</v>
      </c>
      <c r="G102" s="39"/>
      <c r="H102" s="39">
        <f t="shared" si="4"/>
        <v>80287.81720466468</v>
      </c>
    </row>
    <row r="103" spans="1:8">
      <c r="C103" s="39"/>
      <c r="D103" s="39"/>
      <c r="E103" s="39"/>
      <c r="F103" s="39"/>
      <c r="G103" s="39"/>
      <c r="H103" s="39"/>
    </row>
    <row r="104" spans="1:8" s="4" customFormat="1" ht="10.5">
      <c r="A104" s="14"/>
      <c r="B104" s="14" t="s">
        <v>236</v>
      </c>
      <c r="C104" s="41">
        <f>+C90+C102</f>
        <v>73306.35823963095</v>
      </c>
      <c r="D104" s="41">
        <f>+D90+D102</f>
        <v>166663.8637472</v>
      </c>
      <c r="E104" s="41">
        <f>+E90+E102</f>
        <v>63185.595392800002</v>
      </c>
      <c r="F104" s="41">
        <f>+F90+F102</f>
        <v>54315.970405118584</v>
      </c>
      <c r="G104" s="41"/>
      <c r="H104" s="41">
        <f>+SUM(C104:G104)</f>
        <v>357471.78778474953</v>
      </c>
    </row>
    <row r="105" spans="1:8">
      <c r="C105" s="39"/>
      <c r="D105" s="39"/>
      <c r="E105" s="39"/>
      <c r="F105" s="39"/>
      <c r="G105" s="39"/>
      <c r="H105" s="39"/>
    </row>
    <row r="106" spans="1:8">
      <c r="A106" s="10" t="s">
        <v>237</v>
      </c>
      <c r="C106" s="39"/>
      <c r="D106" s="39"/>
      <c r="E106" s="39"/>
      <c r="F106" s="39"/>
      <c r="G106" s="39"/>
      <c r="H106" s="39"/>
    </row>
    <row r="107" spans="1:8">
      <c r="A107" s="10" t="s">
        <v>238</v>
      </c>
      <c r="C107" s="39"/>
      <c r="D107" s="39"/>
      <c r="E107" s="39"/>
      <c r="F107" s="39"/>
      <c r="G107" s="39"/>
      <c r="H107" s="39"/>
    </row>
    <row r="108" spans="1:8">
      <c r="A108" s="10" t="s">
        <v>51</v>
      </c>
      <c r="B108" s="10" t="s">
        <v>50</v>
      </c>
      <c r="C108" s="39"/>
      <c r="D108" s="39"/>
      <c r="E108" s="39"/>
      <c r="F108" s="39"/>
      <c r="G108" s="39"/>
      <c r="H108" s="39">
        <f t="shared" ref="H108:H122" si="5">+SUM(C108:G108)</f>
        <v>0</v>
      </c>
    </row>
    <row r="109" spans="1:8">
      <c r="A109" s="10" t="s">
        <v>41</v>
      </c>
      <c r="B109" s="10" t="s">
        <v>42</v>
      </c>
      <c r="C109" s="39"/>
      <c r="D109" s="39"/>
      <c r="E109" s="39"/>
      <c r="F109" s="39"/>
      <c r="G109" s="39"/>
      <c r="H109" s="39">
        <f t="shared" si="5"/>
        <v>0</v>
      </c>
    </row>
    <row r="110" spans="1:8">
      <c r="A110" s="10" t="s">
        <v>43</v>
      </c>
      <c r="B110" s="10" t="s">
        <v>239</v>
      </c>
      <c r="C110" s="39">
        <v>1000</v>
      </c>
      <c r="D110" s="39"/>
      <c r="E110" s="39"/>
      <c r="F110" s="39"/>
      <c r="G110" s="39"/>
      <c r="H110" s="39">
        <f t="shared" si="5"/>
        <v>1000</v>
      </c>
    </row>
    <row r="111" spans="1:8">
      <c r="A111" s="10" t="s">
        <v>44</v>
      </c>
      <c r="B111" s="10" t="s">
        <v>45</v>
      </c>
      <c r="C111" s="39"/>
      <c r="D111" s="39">
        <v>3000</v>
      </c>
      <c r="E111" s="39">
        <v>1000</v>
      </c>
      <c r="F111" s="39">
        <v>1000</v>
      </c>
      <c r="G111" s="39"/>
      <c r="H111" s="39">
        <f t="shared" si="5"/>
        <v>5000</v>
      </c>
    </row>
    <row r="112" spans="1:8">
      <c r="A112" s="10" t="s">
        <v>46</v>
      </c>
      <c r="B112" s="10" t="s">
        <v>240</v>
      </c>
      <c r="C112" s="39"/>
      <c r="D112" s="39"/>
      <c r="E112" s="39"/>
      <c r="F112" s="39"/>
      <c r="G112" s="39"/>
      <c r="H112" s="39">
        <f t="shared" si="5"/>
        <v>0</v>
      </c>
    </row>
    <row r="113" spans="1:8">
      <c r="A113" s="10" t="s">
        <v>47</v>
      </c>
      <c r="B113" s="10" t="s">
        <v>241</v>
      </c>
      <c r="C113" s="39"/>
      <c r="D113" s="39"/>
      <c r="E113" s="39"/>
      <c r="F113" s="39"/>
      <c r="G113" s="39"/>
      <c r="H113" s="39">
        <f t="shared" si="5"/>
        <v>0</v>
      </c>
    </row>
    <row r="114" spans="1:8">
      <c r="A114" s="10" t="s">
        <v>48</v>
      </c>
      <c r="B114" s="10" t="s">
        <v>49</v>
      </c>
      <c r="C114" s="39"/>
      <c r="D114" s="39">
        <f>3900+3500+1000+600+500</f>
        <v>9500</v>
      </c>
      <c r="E114" s="39">
        <v>4300</v>
      </c>
      <c r="F114" s="39">
        <v>4300</v>
      </c>
      <c r="G114" s="39"/>
      <c r="H114" s="39">
        <f t="shared" si="5"/>
        <v>18100</v>
      </c>
    </row>
    <row r="115" spans="1:8">
      <c r="A115" s="10" t="s">
        <v>82</v>
      </c>
      <c r="B115" s="10" t="s">
        <v>166</v>
      </c>
      <c r="C115" s="39"/>
      <c r="D115" s="39"/>
      <c r="E115" s="39"/>
      <c r="F115" s="39"/>
      <c r="G115" s="39"/>
      <c r="H115" s="39">
        <f t="shared" ref="H115:H120" si="6">+SUM(C115:G115)</f>
        <v>0</v>
      </c>
    </row>
    <row r="116" spans="1:8">
      <c r="A116" s="10" t="s">
        <v>104</v>
      </c>
      <c r="B116" s="10" t="s">
        <v>103</v>
      </c>
      <c r="C116" s="39"/>
      <c r="D116" s="39"/>
      <c r="E116" s="39"/>
      <c r="F116" s="39"/>
      <c r="G116" s="39"/>
      <c r="H116" s="39">
        <f t="shared" si="6"/>
        <v>0</v>
      </c>
    </row>
    <row r="117" spans="1:8">
      <c r="A117" s="10" t="s">
        <v>59</v>
      </c>
      <c r="B117" s="10" t="s">
        <v>321</v>
      </c>
      <c r="C117" s="39"/>
      <c r="D117" s="39">
        <f>82*12+198*4</f>
        <v>1776</v>
      </c>
      <c r="E117" s="39">
        <f>198*4</f>
        <v>792</v>
      </c>
      <c r="F117" s="39">
        <f>198*4</f>
        <v>792</v>
      </c>
      <c r="G117" s="39"/>
      <c r="H117" s="39">
        <f t="shared" si="6"/>
        <v>3360</v>
      </c>
    </row>
    <row r="118" spans="1:8">
      <c r="A118" s="10" t="s">
        <v>87</v>
      </c>
      <c r="B118" s="10" t="s">
        <v>88</v>
      </c>
      <c r="C118" s="39"/>
      <c r="D118" s="39"/>
      <c r="E118" s="39"/>
      <c r="F118" s="39"/>
      <c r="G118" s="39"/>
      <c r="H118" s="39">
        <f t="shared" si="6"/>
        <v>0</v>
      </c>
    </row>
    <row r="119" spans="1:8">
      <c r="A119" s="10" t="s">
        <v>89</v>
      </c>
      <c r="B119" s="10" t="s">
        <v>90</v>
      </c>
      <c r="C119" s="39"/>
      <c r="D119" s="39"/>
      <c r="E119" s="39"/>
      <c r="F119" s="39"/>
      <c r="G119" s="39"/>
      <c r="H119" s="39">
        <f t="shared" si="6"/>
        <v>0</v>
      </c>
    </row>
    <row r="120" spans="1:8">
      <c r="A120" s="10" t="s">
        <v>450</v>
      </c>
      <c r="B120" s="10" t="s">
        <v>451</v>
      </c>
      <c r="C120" s="39"/>
      <c r="D120" s="39"/>
      <c r="E120" s="39"/>
      <c r="F120" s="39"/>
      <c r="G120" s="39"/>
      <c r="H120" s="39">
        <f t="shared" si="6"/>
        <v>0</v>
      </c>
    </row>
    <row r="121" spans="1:8">
      <c r="A121" s="10" t="s">
        <v>52</v>
      </c>
      <c r="B121" s="10" t="s">
        <v>53</v>
      </c>
      <c r="C121" s="40"/>
      <c r="D121" s="40"/>
      <c r="E121" s="40"/>
      <c r="F121" s="40"/>
      <c r="G121" s="39"/>
      <c r="H121" s="40">
        <f t="shared" si="5"/>
        <v>0</v>
      </c>
    </row>
    <row r="122" spans="1:8">
      <c r="B122" s="10" t="s">
        <v>242</v>
      </c>
      <c r="C122" s="39">
        <f>SUM(C108:C121)</f>
        <v>1000</v>
      </c>
      <c r="D122" s="39">
        <f>SUM(D108:D121)</f>
        <v>14276</v>
      </c>
      <c r="E122" s="39">
        <f>SUM(E108:E121)</f>
        <v>6092</v>
      </c>
      <c r="F122" s="39">
        <f>SUM(F108:F121)</f>
        <v>6092</v>
      </c>
      <c r="G122" s="39"/>
      <c r="H122" s="39">
        <f t="shared" si="5"/>
        <v>27460</v>
      </c>
    </row>
    <row r="123" spans="1:8">
      <c r="C123" s="39"/>
      <c r="D123" s="39"/>
      <c r="E123" s="39"/>
      <c r="F123" s="39"/>
      <c r="G123" s="39"/>
      <c r="H123" s="39"/>
    </row>
    <row r="124" spans="1:8">
      <c r="A124" s="10" t="s">
        <v>243</v>
      </c>
      <c r="C124" s="39"/>
      <c r="D124" s="39"/>
      <c r="E124" s="39"/>
      <c r="F124" s="39"/>
      <c r="G124" s="39"/>
      <c r="H124" s="39"/>
    </row>
    <row r="125" spans="1:8">
      <c r="A125" s="10" t="s">
        <v>56</v>
      </c>
      <c r="B125" s="10" t="s">
        <v>246</v>
      </c>
      <c r="C125" s="39"/>
      <c r="D125" s="39">
        <f>40*12</f>
        <v>480</v>
      </c>
      <c r="E125" s="39">
        <v>3000</v>
      </c>
      <c r="F125" s="39">
        <v>0</v>
      </c>
      <c r="G125" s="39"/>
      <c r="H125" s="39">
        <f t="shared" ref="H125:H133" si="7">+SUM(C125:G125)</f>
        <v>3480</v>
      </c>
    </row>
    <row r="126" spans="1:8">
      <c r="A126" s="10" t="s">
        <v>57</v>
      </c>
      <c r="B126" s="10" t="s">
        <v>247</v>
      </c>
      <c r="C126" s="39"/>
      <c r="D126" s="39">
        <f>400*12</f>
        <v>4800</v>
      </c>
      <c r="E126" s="39">
        <f>400*12</f>
        <v>4800</v>
      </c>
      <c r="F126" s="39">
        <f>400*12</f>
        <v>4800</v>
      </c>
      <c r="G126" s="39"/>
      <c r="H126" s="39">
        <f t="shared" si="7"/>
        <v>14400</v>
      </c>
    </row>
    <row r="127" spans="1:8">
      <c r="A127" s="10" t="s">
        <v>58</v>
      </c>
      <c r="B127" s="10" t="s">
        <v>248</v>
      </c>
      <c r="C127" s="39"/>
      <c r="D127" s="39"/>
      <c r="E127" s="39"/>
      <c r="F127" s="39"/>
      <c r="G127" s="39"/>
      <c r="H127" s="39">
        <f t="shared" si="7"/>
        <v>0</v>
      </c>
    </row>
    <row r="128" spans="1:8">
      <c r="A128" s="10" t="s">
        <v>55</v>
      </c>
      <c r="B128" s="10" t="s">
        <v>245</v>
      </c>
      <c r="C128" s="39"/>
      <c r="D128" s="39">
        <v>5250</v>
      </c>
      <c r="E128" s="39">
        <v>3000</v>
      </c>
      <c r="F128" s="39">
        <v>3000</v>
      </c>
      <c r="G128" s="39"/>
      <c r="H128" s="39">
        <f t="shared" si="7"/>
        <v>11250</v>
      </c>
    </row>
    <row r="129" spans="1:8" ht="10.5" customHeight="1">
      <c r="A129" s="10" t="s">
        <v>54</v>
      </c>
      <c r="B129" s="10" t="s">
        <v>244</v>
      </c>
      <c r="C129" s="39"/>
      <c r="D129" s="39">
        <v>50000</v>
      </c>
      <c r="E129" s="39">
        <v>20000</v>
      </c>
      <c r="F129" s="39">
        <v>50000</v>
      </c>
      <c r="G129" s="39"/>
      <c r="H129" s="39">
        <f t="shared" si="7"/>
        <v>120000</v>
      </c>
    </row>
    <row r="130" spans="1:8">
      <c r="A130" s="10" t="s">
        <v>60</v>
      </c>
      <c r="B130" s="10" t="s">
        <v>61</v>
      </c>
      <c r="C130" s="39"/>
      <c r="D130" s="39">
        <f>4912+27362+12000</f>
        <v>44274</v>
      </c>
      <c r="E130" s="39">
        <v>155000</v>
      </c>
      <c r="F130" s="39">
        <v>6000</v>
      </c>
      <c r="G130" s="39"/>
      <c r="H130" s="39">
        <f t="shared" si="7"/>
        <v>205274</v>
      </c>
    </row>
    <row r="131" spans="1:8">
      <c r="A131" s="10" t="s">
        <v>485</v>
      </c>
      <c r="B131" s="10" t="s">
        <v>449</v>
      </c>
      <c r="C131" s="39"/>
      <c r="D131" s="39"/>
      <c r="E131" s="39">
        <v>131920</v>
      </c>
      <c r="F131" s="39">
        <v>0</v>
      </c>
      <c r="G131" s="39"/>
      <c r="H131" s="39">
        <f>+SUM(C131:G131)</f>
        <v>131920</v>
      </c>
    </row>
    <row r="132" spans="1:8">
      <c r="A132" s="10" t="s">
        <v>62</v>
      </c>
      <c r="B132" s="10" t="s">
        <v>249</v>
      </c>
      <c r="C132" s="40"/>
      <c r="D132" s="40">
        <v>1500</v>
      </c>
      <c r="E132" s="40">
        <v>1500</v>
      </c>
      <c r="F132" s="40">
        <v>1500</v>
      </c>
      <c r="G132" s="39"/>
      <c r="H132" s="40">
        <f t="shared" si="7"/>
        <v>4500</v>
      </c>
    </row>
    <row r="133" spans="1:8">
      <c r="B133" s="10" t="s">
        <v>250</v>
      </c>
      <c r="C133" s="39">
        <f>SUM(C125:C132)</f>
        <v>0</v>
      </c>
      <c r="D133" s="39">
        <f>SUM(D125:D132)</f>
        <v>106304</v>
      </c>
      <c r="E133" s="39">
        <f>SUM(E125:E132)</f>
        <v>319220</v>
      </c>
      <c r="F133" s="39">
        <f>SUM(F125:F132)</f>
        <v>65300</v>
      </c>
      <c r="G133" s="39"/>
      <c r="H133" s="39">
        <f t="shared" si="7"/>
        <v>490824</v>
      </c>
    </row>
    <row r="134" spans="1:8">
      <c r="C134" s="39"/>
      <c r="D134" s="39"/>
      <c r="E134" s="39"/>
      <c r="F134" s="39"/>
      <c r="G134" s="39"/>
      <c r="H134" s="39"/>
    </row>
    <row r="135" spans="1:8">
      <c r="A135" s="10" t="s">
        <v>251</v>
      </c>
      <c r="C135" s="39"/>
      <c r="D135" s="39"/>
      <c r="E135" s="39"/>
      <c r="F135" s="39"/>
      <c r="G135" s="39"/>
      <c r="H135" s="39"/>
    </row>
    <row r="136" spans="1:8">
      <c r="A136" s="10" t="s">
        <v>252</v>
      </c>
      <c r="C136" s="39"/>
      <c r="D136" s="39"/>
      <c r="E136" s="39"/>
      <c r="F136" s="39"/>
      <c r="G136" s="39"/>
      <c r="H136" s="39"/>
    </row>
    <row r="137" spans="1:8">
      <c r="A137" s="10" t="s">
        <v>63</v>
      </c>
      <c r="B137" s="10" t="s">
        <v>253</v>
      </c>
      <c r="C137" s="39"/>
      <c r="D137" s="39"/>
      <c r="E137" s="39"/>
      <c r="F137" s="39"/>
      <c r="G137" s="39"/>
      <c r="H137" s="39">
        <f>+SUM(C137:G137)</f>
        <v>0</v>
      </c>
    </row>
    <row r="138" spans="1:8">
      <c r="A138" s="10" t="s">
        <v>64</v>
      </c>
      <c r="B138" s="10" t="s">
        <v>254</v>
      </c>
      <c r="C138" s="39"/>
      <c r="D138" s="39">
        <f>(4231+4247+783+6433+51+12+3907/2)*1.05+25000+3354*1.05+1284*1.05+1721*1.05</f>
        <v>50272.974999999999</v>
      </c>
      <c r="E138" s="39">
        <f>(20097+1614+1661+113+3907/2)*1.1+687*1.1+525*1.1</f>
        <v>29315.550000000003</v>
      </c>
      <c r="F138" s="39">
        <f>SUM(E138+D138)/2</f>
        <v>39794.262499999997</v>
      </c>
      <c r="G138" s="39"/>
      <c r="H138" s="39">
        <f>+SUM(C138:G138)</f>
        <v>119382.78749999999</v>
      </c>
    </row>
    <row r="139" spans="1:8">
      <c r="A139" s="10" t="s">
        <v>454</v>
      </c>
      <c r="B139" s="10" t="s">
        <v>455</v>
      </c>
      <c r="C139" s="39">
        <f>3425*1.05</f>
        <v>3596.25</v>
      </c>
      <c r="D139" s="39"/>
      <c r="E139" s="39"/>
      <c r="F139" s="39"/>
      <c r="G139" s="39"/>
      <c r="H139" s="39">
        <f>+SUM(C139:G139)</f>
        <v>3596.25</v>
      </c>
    </row>
    <row r="140" spans="1:8">
      <c r="A140" s="10" t="s">
        <v>65</v>
      </c>
      <c r="B140" s="10" t="s">
        <v>255</v>
      </c>
      <c r="C140" s="40"/>
      <c r="D140" s="40"/>
      <c r="E140" s="40"/>
      <c r="F140" s="40"/>
      <c r="G140" s="39"/>
      <c r="H140" s="40">
        <f>+SUM(C140:G140)</f>
        <v>0</v>
      </c>
    </row>
    <row r="141" spans="1:8">
      <c r="B141" s="10" t="s">
        <v>256</v>
      </c>
      <c r="C141" s="39">
        <f>SUM(C137:C140)</f>
        <v>3596.25</v>
      </c>
      <c r="D141" s="39">
        <f>SUM(D137:D140)</f>
        <v>50272.974999999999</v>
      </c>
      <c r="E141" s="39">
        <f>SUM(E137:E140)</f>
        <v>29315.550000000003</v>
      </c>
      <c r="F141" s="39">
        <f>SUM(F137:F140)</f>
        <v>39794.262499999997</v>
      </c>
      <c r="G141" s="39"/>
      <c r="H141" s="39">
        <f>+SUM(C141:G141)</f>
        <v>122979.03749999999</v>
      </c>
    </row>
    <row r="142" spans="1:8">
      <c r="C142" s="39"/>
      <c r="D142" s="39"/>
      <c r="E142" s="39"/>
      <c r="F142" s="39"/>
      <c r="G142" s="39"/>
      <c r="H142" s="39"/>
    </row>
    <row r="143" spans="1:8">
      <c r="A143" s="10" t="s">
        <v>257</v>
      </c>
      <c r="C143" s="39"/>
      <c r="D143" s="39"/>
      <c r="E143" s="39"/>
      <c r="F143" s="39"/>
      <c r="G143" s="39"/>
      <c r="H143" s="39"/>
    </row>
    <row r="144" spans="1:8">
      <c r="A144" s="10" t="s">
        <v>66</v>
      </c>
      <c r="B144" s="10" t="s">
        <v>258</v>
      </c>
      <c r="C144" s="39"/>
      <c r="D144" s="39"/>
      <c r="E144" s="39"/>
      <c r="F144" s="39"/>
      <c r="G144" s="39"/>
      <c r="H144" s="39">
        <f t="shared" ref="H144:H150" si="8">+SUM(C144:G144)</f>
        <v>0</v>
      </c>
    </row>
    <row r="145" spans="1:8">
      <c r="A145" s="10" t="s">
        <v>67</v>
      </c>
      <c r="B145" s="10" t="s">
        <v>259</v>
      </c>
      <c r="C145" s="39"/>
      <c r="D145" s="39"/>
      <c r="E145" s="39"/>
      <c r="F145" s="39"/>
      <c r="G145" s="39"/>
      <c r="H145" s="39">
        <f t="shared" si="8"/>
        <v>0</v>
      </c>
    </row>
    <row r="146" spans="1:8">
      <c r="A146" s="10" t="s">
        <v>68</v>
      </c>
      <c r="B146" s="10" t="s">
        <v>260</v>
      </c>
      <c r="C146" s="39">
        <f>65*12</f>
        <v>780</v>
      </c>
      <c r="D146" s="39">
        <f>55*12</f>
        <v>660</v>
      </c>
      <c r="E146" s="39">
        <f>55*12</f>
        <v>660</v>
      </c>
      <c r="F146" s="39">
        <f>55*12</f>
        <v>660</v>
      </c>
      <c r="G146" s="39"/>
      <c r="H146" s="39">
        <f t="shared" si="8"/>
        <v>2760</v>
      </c>
    </row>
    <row r="147" spans="1:8">
      <c r="A147" s="10" t="s">
        <v>69</v>
      </c>
      <c r="B147" s="10" t="s">
        <v>261</v>
      </c>
      <c r="C147" s="39"/>
      <c r="D147" s="39"/>
      <c r="E147" s="39"/>
      <c r="F147" s="39"/>
      <c r="G147" s="39"/>
      <c r="H147" s="39">
        <f t="shared" si="8"/>
        <v>0</v>
      </c>
    </row>
    <row r="148" spans="1:8" ht="12" customHeight="1">
      <c r="A148" s="10" t="s">
        <v>70</v>
      </c>
      <c r="B148" s="10" t="s">
        <v>262</v>
      </c>
      <c r="C148" s="39"/>
      <c r="D148" s="39"/>
      <c r="E148" s="39"/>
      <c r="F148" s="39"/>
      <c r="G148" s="39"/>
      <c r="H148" s="39">
        <f t="shared" si="8"/>
        <v>0</v>
      </c>
    </row>
    <row r="149" spans="1:8">
      <c r="A149" s="10" t="s">
        <v>462</v>
      </c>
      <c r="B149" s="10" t="s">
        <v>464</v>
      </c>
      <c r="C149" s="40"/>
      <c r="D149" s="40"/>
      <c r="E149" s="40"/>
      <c r="F149" s="40"/>
      <c r="G149" s="39"/>
      <c r="H149" s="40">
        <f>+SUM(C149:G149)</f>
        <v>0</v>
      </c>
    </row>
    <row r="150" spans="1:8">
      <c r="B150" s="10" t="s">
        <v>263</v>
      </c>
      <c r="C150" s="39">
        <f>SUM(C144:C149)</f>
        <v>780</v>
      </c>
      <c r="D150" s="39">
        <f>SUM(D144:D149)</f>
        <v>660</v>
      </c>
      <c r="E150" s="39">
        <f>SUM(E144:E149)</f>
        <v>660</v>
      </c>
      <c r="F150" s="39">
        <f>SUM(F144:F149)</f>
        <v>660</v>
      </c>
      <c r="G150" s="39"/>
      <c r="H150" s="39">
        <f t="shared" si="8"/>
        <v>2760</v>
      </c>
    </row>
    <row r="151" spans="1:8">
      <c r="C151" s="39"/>
      <c r="D151" s="39"/>
      <c r="E151" s="39"/>
      <c r="F151" s="39"/>
      <c r="G151" s="39"/>
      <c r="H151" s="39"/>
    </row>
    <row r="152" spans="1:8">
      <c r="A152" s="10" t="s">
        <v>264</v>
      </c>
      <c r="C152" s="39"/>
      <c r="D152" s="39"/>
      <c r="E152" s="39"/>
      <c r="F152" s="39"/>
      <c r="G152" s="39"/>
      <c r="H152" s="39"/>
    </row>
    <row r="153" spans="1:8">
      <c r="A153" s="10" t="s">
        <v>265</v>
      </c>
      <c r="C153" s="39"/>
      <c r="D153" s="39"/>
      <c r="E153" s="39"/>
      <c r="F153" s="39"/>
      <c r="G153" s="39"/>
      <c r="H153" s="39"/>
    </row>
    <row r="154" spans="1:8">
      <c r="A154" s="10" t="s">
        <v>71</v>
      </c>
      <c r="B154" s="10" t="s">
        <v>72</v>
      </c>
      <c r="C154" s="40">
        <v>1000</v>
      </c>
      <c r="D154" s="40">
        <v>400</v>
      </c>
      <c r="E154" s="40">
        <v>400</v>
      </c>
      <c r="F154" s="40">
        <v>400</v>
      </c>
      <c r="G154" s="39"/>
      <c r="H154" s="40">
        <f>+SUM(C154:G154)</f>
        <v>2200</v>
      </c>
    </row>
    <row r="155" spans="1:8">
      <c r="B155" s="10" t="s">
        <v>266</v>
      </c>
      <c r="C155" s="39">
        <f>SUM(C154)</f>
        <v>1000</v>
      </c>
      <c r="D155" s="39">
        <f>SUM(D154)</f>
        <v>400</v>
      </c>
      <c r="E155" s="39">
        <f>SUM(E154)</f>
        <v>400</v>
      </c>
      <c r="F155" s="39">
        <f>SUM(F154)</f>
        <v>400</v>
      </c>
      <c r="G155" s="39"/>
      <c r="H155" s="39">
        <f>+SUM(C155:G155)</f>
        <v>2200</v>
      </c>
    </row>
    <row r="156" spans="1:8">
      <c r="C156" s="39"/>
      <c r="D156" s="39"/>
      <c r="E156" s="39"/>
      <c r="F156" s="39"/>
      <c r="G156" s="39"/>
      <c r="H156" s="39"/>
    </row>
    <row r="157" spans="1:8">
      <c r="A157" s="10" t="s">
        <v>267</v>
      </c>
      <c r="C157" s="39"/>
      <c r="D157" s="39"/>
      <c r="E157" s="39"/>
      <c r="F157" s="39"/>
      <c r="G157" s="39"/>
      <c r="H157" s="39"/>
    </row>
    <row r="158" spans="1:8">
      <c r="A158" s="10" t="s">
        <v>73</v>
      </c>
      <c r="B158" s="10" t="s">
        <v>74</v>
      </c>
      <c r="C158" s="39"/>
      <c r="D158" s="39">
        <v>30000</v>
      </c>
      <c r="E158" s="39">
        <v>15000</v>
      </c>
      <c r="F158" s="39">
        <v>20000</v>
      </c>
      <c r="G158" s="39"/>
      <c r="H158" s="39">
        <f t="shared" ref="H158:H171" si="9">+SUM(C158:G158)</f>
        <v>65000</v>
      </c>
    </row>
    <row r="159" spans="1:8">
      <c r="A159" s="10" t="s">
        <v>75</v>
      </c>
      <c r="B159" s="10" t="s">
        <v>154</v>
      </c>
      <c r="C159" s="39">
        <v>1500</v>
      </c>
      <c r="D159" s="39"/>
      <c r="E159" s="39"/>
      <c r="F159" s="39"/>
      <c r="G159" s="39"/>
      <c r="H159" s="39">
        <f t="shared" si="9"/>
        <v>1500</v>
      </c>
    </row>
    <row r="160" spans="1:8">
      <c r="A160" s="10" t="s">
        <v>456</v>
      </c>
      <c r="B160" s="10" t="s">
        <v>97</v>
      </c>
      <c r="C160" s="39"/>
      <c r="D160" s="39">
        <v>2000</v>
      </c>
      <c r="E160" s="39">
        <v>5000</v>
      </c>
      <c r="F160" s="39">
        <v>5000</v>
      </c>
      <c r="G160" s="39"/>
      <c r="H160" s="39">
        <f t="shared" si="9"/>
        <v>12000</v>
      </c>
    </row>
    <row r="161" spans="1:8">
      <c r="A161" s="10" t="s">
        <v>457</v>
      </c>
      <c r="B161" s="10" t="s">
        <v>458</v>
      </c>
      <c r="C161" s="39"/>
      <c r="D161" s="39"/>
      <c r="E161" s="39"/>
      <c r="F161" s="39"/>
      <c r="G161" s="39"/>
      <c r="H161" s="39">
        <f t="shared" si="9"/>
        <v>0</v>
      </c>
    </row>
    <row r="162" spans="1:8">
      <c r="A162" s="10" t="s">
        <v>459</v>
      </c>
      <c r="B162" s="10" t="s">
        <v>460</v>
      </c>
      <c r="C162" s="39">
        <v>1000</v>
      </c>
      <c r="D162" s="39"/>
      <c r="E162" s="39"/>
      <c r="F162" s="39"/>
      <c r="G162" s="39"/>
      <c r="H162" s="39">
        <f t="shared" si="9"/>
        <v>1000</v>
      </c>
    </row>
    <row r="163" spans="1:8">
      <c r="A163" s="10" t="s">
        <v>452</v>
      </c>
      <c r="B163" s="10" t="s">
        <v>453</v>
      </c>
      <c r="C163" s="39">
        <f>100*12</f>
        <v>1200</v>
      </c>
      <c r="D163" s="39"/>
      <c r="E163" s="39"/>
      <c r="F163" s="39"/>
      <c r="G163" s="39"/>
      <c r="H163" s="39">
        <f>+SUM(C163:G163)</f>
        <v>1200</v>
      </c>
    </row>
    <row r="164" spans="1:8">
      <c r="A164" s="10" t="s">
        <v>76</v>
      </c>
      <c r="B164" s="10" t="s">
        <v>155</v>
      </c>
      <c r="C164" s="39"/>
      <c r="D164" s="39"/>
      <c r="E164" s="39"/>
      <c r="F164" s="39"/>
      <c r="G164" s="39"/>
      <c r="H164" s="39">
        <f t="shared" si="9"/>
        <v>0</v>
      </c>
    </row>
    <row r="165" spans="1:8">
      <c r="A165" s="10" t="s">
        <v>79</v>
      </c>
      <c r="B165" s="10" t="s">
        <v>156</v>
      </c>
      <c r="C165" s="39"/>
      <c r="D165" s="39"/>
      <c r="E165" s="39"/>
      <c r="F165" s="39"/>
      <c r="G165" s="39"/>
      <c r="H165" s="39">
        <f t="shared" si="9"/>
        <v>0</v>
      </c>
    </row>
    <row r="166" spans="1:8">
      <c r="A166" s="10" t="s">
        <v>78</v>
      </c>
      <c r="B166" s="10" t="s">
        <v>157</v>
      </c>
      <c r="C166" s="39"/>
      <c r="D166" s="39"/>
      <c r="E166" s="39"/>
      <c r="F166" s="39"/>
      <c r="G166" s="39"/>
      <c r="H166" s="39">
        <f t="shared" si="9"/>
        <v>0</v>
      </c>
    </row>
    <row r="167" spans="1:8">
      <c r="A167" s="10" t="s">
        <v>77</v>
      </c>
      <c r="B167" s="10" t="s">
        <v>158</v>
      </c>
      <c r="C167" s="39"/>
      <c r="D167" s="39"/>
      <c r="E167" s="39"/>
      <c r="F167" s="39"/>
      <c r="G167" s="39"/>
      <c r="H167" s="39">
        <f t="shared" si="9"/>
        <v>0</v>
      </c>
    </row>
    <row r="168" spans="1:8">
      <c r="A168" s="10" t="s">
        <v>80</v>
      </c>
      <c r="B168" s="10" t="s">
        <v>159</v>
      </c>
      <c r="C168" s="39"/>
      <c r="D168" s="39"/>
      <c r="E168" s="39"/>
      <c r="F168" s="39"/>
      <c r="G168" s="39"/>
      <c r="H168" s="39">
        <f t="shared" si="9"/>
        <v>0</v>
      </c>
    </row>
    <row r="169" spans="1:8">
      <c r="A169" s="10" t="s">
        <v>81</v>
      </c>
      <c r="B169" s="10" t="s">
        <v>160</v>
      </c>
      <c r="C169" s="39"/>
      <c r="D169" s="39"/>
      <c r="E169" s="39"/>
      <c r="F169" s="39"/>
      <c r="G169" s="39"/>
      <c r="H169" s="39">
        <f t="shared" si="9"/>
        <v>0</v>
      </c>
    </row>
    <row r="170" spans="1:8">
      <c r="A170" s="10" t="s">
        <v>161</v>
      </c>
      <c r="B170" s="10" t="s">
        <v>162</v>
      </c>
      <c r="C170" s="40"/>
      <c r="D170" s="40"/>
      <c r="E170" s="40"/>
      <c r="F170" s="40"/>
      <c r="G170" s="39"/>
      <c r="H170" s="40">
        <f t="shared" si="9"/>
        <v>0</v>
      </c>
    </row>
    <row r="171" spans="1:8">
      <c r="B171" s="10" t="s">
        <v>163</v>
      </c>
      <c r="C171" s="39">
        <f>SUM(C158:C170)</f>
        <v>3700</v>
      </c>
      <c r="D171" s="39">
        <f>SUM(D158:D170)</f>
        <v>32000</v>
      </c>
      <c r="E171" s="39">
        <f>SUM(E158:E170)</f>
        <v>20000</v>
      </c>
      <c r="F171" s="39">
        <f>SUM(F158:F170)</f>
        <v>25000</v>
      </c>
      <c r="G171" s="39"/>
      <c r="H171" s="39">
        <f t="shared" si="9"/>
        <v>80700</v>
      </c>
    </row>
    <row r="172" spans="1:8">
      <c r="C172" s="39"/>
      <c r="D172" s="39"/>
      <c r="E172" s="39"/>
      <c r="F172" s="39"/>
      <c r="G172" s="39"/>
      <c r="H172" s="39"/>
    </row>
    <row r="173" spans="1:8">
      <c r="A173" s="10" t="s">
        <v>164</v>
      </c>
      <c r="C173" s="39"/>
      <c r="D173" s="39"/>
      <c r="E173" s="39"/>
      <c r="F173" s="39"/>
      <c r="G173" s="39"/>
      <c r="H173" s="39"/>
    </row>
    <row r="174" spans="1:8">
      <c r="A174" s="10" t="s">
        <v>165</v>
      </c>
      <c r="C174" s="39"/>
      <c r="D174" s="39"/>
      <c r="E174" s="39"/>
      <c r="F174" s="39"/>
      <c r="G174" s="39"/>
      <c r="H174" s="39"/>
    </row>
    <row r="175" spans="1:8">
      <c r="A175" s="10" t="s">
        <v>86</v>
      </c>
      <c r="B175" s="10" t="s">
        <v>85</v>
      </c>
      <c r="C175" s="39"/>
      <c r="D175" s="39">
        <v>500</v>
      </c>
      <c r="E175" s="39">
        <v>500</v>
      </c>
      <c r="F175" s="39">
        <v>500</v>
      </c>
      <c r="G175" s="39"/>
      <c r="H175" s="39">
        <f t="shared" ref="H175:H186" si="10">+SUM(C175:G175)</f>
        <v>1500</v>
      </c>
    </row>
    <row r="176" spans="1:8">
      <c r="A176" s="10" t="s">
        <v>91</v>
      </c>
      <c r="B176" s="10" t="s">
        <v>92</v>
      </c>
      <c r="C176" s="39"/>
      <c r="D176" s="39"/>
      <c r="E176" s="39"/>
      <c r="F176" s="39"/>
      <c r="G176" s="39"/>
      <c r="H176" s="39">
        <f t="shared" si="10"/>
        <v>0</v>
      </c>
    </row>
    <row r="177" spans="1:8">
      <c r="A177" s="10" t="s">
        <v>93</v>
      </c>
      <c r="B177" s="10" t="s">
        <v>432</v>
      </c>
      <c r="C177" s="39"/>
      <c r="D177" s="39"/>
      <c r="E177" s="39"/>
      <c r="F177" s="39"/>
      <c r="G177" s="39"/>
      <c r="H177" s="39">
        <f t="shared" si="10"/>
        <v>0</v>
      </c>
    </row>
    <row r="178" spans="1:8">
      <c r="A178" s="10" t="s">
        <v>95</v>
      </c>
      <c r="B178" s="10" t="s">
        <v>431</v>
      </c>
      <c r="C178" s="39"/>
      <c r="D178" s="39"/>
      <c r="E178" s="39"/>
      <c r="F178" s="39"/>
      <c r="G178" s="39"/>
      <c r="H178" s="39">
        <f t="shared" si="10"/>
        <v>0</v>
      </c>
    </row>
    <row r="179" spans="1:8">
      <c r="A179" s="10" t="s">
        <v>96</v>
      </c>
      <c r="B179" s="10" t="s">
        <v>97</v>
      </c>
      <c r="C179" s="39"/>
      <c r="D179" s="39"/>
      <c r="E179" s="39"/>
      <c r="F179" s="39"/>
      <c r="G179" s="39"/>
      <c r="H179" s="39">
        <f t="shared" si="10"/>
        <v>0</v>
      </c>
    </row>
    <row r="180" spans="1:8">
      <c r="A180" s="10" t="s">
        <v>98</v>
      </c>
      <c r="B180" s="10" t="s">
        <v>99</v>
      </c>
      <c r="C180" s="39"/>
      <c r="D180" s="39"/>
      <c r="E180" s="39"/>
      <c r="F180" s="39"/>
      <c r="G180" s="39"/>
      <c r="H180" s="39">
        <f t="shared" si="10"/>
        <v>0</v>
      </c>
    </row>
    <row r="181" spans="1:8">
      <c r="A181" s="10" t="s">
        <v>100</v>
      </c>
      <c r="B181" s="10" t="s">
        <v>287</v>
      </c>
      <c r="C181" s="39"/>
      <c r="D181" s="39"/>
      <c r="E181" s="39"/>
      <c r="F181" s="39"/>
      <c r="G181" s="39"/>
      <c r="H181" s="39">
        <f t="shared" si="10"/>
        <v>0</v>
      </c>
    </row>
    <row r="182" spans="1:8">
      <c r="A182" s="10" t="s">
        <v>101</v>
      </c>
      <c r="B182" s="10" t="s">
        <v>102</v>
      </c>
      <c r="C182" s="39"/>
      <c r="D182" s="39"/>
      <c r="E182" s="39"/>
      <c r="F182" s="39"/>
      <c r="G182" s="39"/>
      <c r="H182" s="39">
        <f t="shared" si="10"/>
        <v>0</v>
      </c>
    </row>
    <row r="183" spans="1:8">
      <c r="A183" s="10" t="s">
        <v>105</v>
      </c>
      <c r="B183" s="10" t="s">
        <v>167</v>
      </c>
      <c r="C183" s="39"/>
      <c r="D183" s="39"/>
      <c r="E183" s="39"/>
      <c r="F183" s="39"/>
      <c r="G183" s="39"/>
      <c r="H183" s="39">
        <f t="shared" si="10"/>
        <v>0</v>
      </c>
    </row>
    <row r="184" spans="1:8">
      <c r="A184" s="10" t="s">
        <v>106</v>
      </c>
      <c r="B184" s="10" t="s">
        <v>107</v>
      </c>
      <c r="C184" s="39"/>
      <c r="D184" s="39"/>
      <c r="E184" s="39"/>
      <c r="F184" s="39"/>
      <c r="G184" s="39"/>
      <c r="H184" s="39">
        <f>+SUM(C184:G184)</f>
        <v>0</v>
      </c>
    </row>
    <row r="185" spans="1:8">
      <c r="A185" s="10" t="s">
        <v>465</v>
      </c>
      <c r="B185" s="10" t="s">
        <v>466</v>
      </c>
      <c r="C185" s="40">
        <v>500</v>
      </c>
      <c r="D185" s="40"/>
      <c r="E185" s="40"/>
      <c r="F185" s="40"/>
      <c r="G185" s="39"/>
      <c r="H185" s="40">
        <f t="shared" si="10"/>
        <v>500</v>
      </c>
    </row>
    <row r="186" spans="1:8">
      <c r="B186" s="10" t="s">
        <v>168</v>
      </c>
      <c r="C186" s="39">
        <f>SUM(C175:C185)</f>
        <v>500</v>
      </c>
      <c r="D186" s="39">
        <f>SUM(D175:D185)</f>
        <v>500</v>
      </c>
      <c r="E186" s="39">
        <f>SUM(E175:E185)</f>
        <v>500</v>
      </c>
      <c r="F186" s="39">
        <f>SUM(F175:F185)</f>
        <v>500</v>
      </c>
      <c r="G186" s="39"/>
      <c r="H186" s="39">
        <f t="shared" si="10"/>
        <v>2000</v>
      </c>
    </row>
    <row r="187" spans="1:8">
      <c r="C187" s="39"/>
      <c r="D187" s="39"/>
      <c r="E187" s="39"/>
      <c r="F187" s="39"/>
      <c r="G187" s="39"/>
      <c r="H187" s="39"/>
    </row>
    <row r="188" spans="1:8" s="4" customFormat="1" ht="10.5">
      <c r="A188" s="14"/>
      <c r="B188" s="14" t="s">
        <v>169</v>
      </c>
      <c r="C188" s="41">
        <f>+C122+C133+C141+C150+C155+C171+C186</f>
        <v>10576.25</v>
      </c>
      <c r="D188" s="41">
        <f>+D122+D133+D141+D150+D155+D171+D186</f>
        <v>204412.97500000001</v>
      </c>
      <c r="E188" s="41">
        <f>+E122+E133+E141+E150+E155+E171+E186</f>
        <v>376187.55</v>
      </c>
      <c r="F188" s="41">
        <f>+F122+F133+F141+F150+F155+F171+F186</f>
        <v>137746.26250000001</v>
      </c>
      <c r="G188" s="41"/>
      <c r="H188" s="41">
        <f>+SUM(C188:G188)</f>
        <v>728923.03750000009</v>
      </c>
    </row>
    <row r="189" spans="1:8">
      <c r="C189" s="39"/>
      <c r="D189" s="39"/>
      <c r="E189" s="39"/>
      <c r="F189" s="39"/>
      <c r="G189" s="39"/>
      <c r="H189" s="39"/>
    </row>
    <row r="190" spans="1:8">
      <c r="C190" s="39"/>
      <c r="D190" s="39"/>
      <c r="E190" s="39"/>
      <c r="F190" s="39"/>
      <c r="G190" s="39"/>
      <c r="H190" s="39"/>
    </row>
    <row r="191" spans="1:8" s="4" customFormat="1" ht="10.5">
      <c r="A191" s="14">
        <f>+SUM(C191:G191)</f>
        <v>-1086394.8252847495</v>
      </c>
      <c r="B191" s="14" t="s">
        <v>170</v>
      </c>
      <c r="C191" s="41">
        <f>+C68-C104-C188</f>
        <v>-83882.60823963095</v>
      </c>
      <c r="D191" s="41">
        <f>+D68-D104-D188</f>
        <v>-371076.83874719997</v>
      </c>
      <c r="E191" s="41">
        <f>+E68-E104-E188</f>
        <v>-439373.14539279998</v>
      </c>
      <c r="F191" s="41">
        <f>+F68-F104-F188</f>
        <v>-192062.23290511861</v>
      </c>
      <c r="G191" s="41"/>
      <c r="H191" s="41">
        <f>+SUM(C191:G191)</f>
        <v>-1086394.8252847495</v>
      </c>
    </row>
  </sheetData>
  <phoneticPr fontId="0" type="noConversion"/>
  <pageMargins left="0.17" right="0.17" top="1.48" bottom="0.49" header="0.22" footer="0.17"/>
  <pageSetup orientation="portrait" r:id="rId1"/>
  <headerFooter alignWithMargins="0">
    <oddHeader>&amp;C&amp;"MS Sans Serif,Bold"&amp;18ISL
BUDGET '12-2013
FACILITIES
&amp;A</oddHeader>
    <oddFooter>&amp;L&amp;6&amp;Z&amp;F&amp;R&amp;P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5:J193"/>
  <sheetViews>
    <sheetView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E22" sqref="E22"/>
    </sheetView>
  </sheetViews>
  <sheetFormatPr defaultColWidth="11.42578125" defaultRowHeight="11.25"/>
  <cols>
    <col min="1" max="1" width="14.85546875" style="10" customWidth="1"/>
    <col min="2" max="2" width="23.5703125" style="10" customWidth="1"/>
    <col min="3" max="3" width="9.28515625" style="1" customWidth="1"/>
    <col min="4" max="5" width="9.5703125" style="1" customWidth="1"/>
    <col min="6" max="6" width="8.7109375" style="1" customWidth="1"/>
    <col min="7" max="7" width="9" style="1" customWidth="1"/>
    <col min="8" max="8" width="8.7109375" style="1" customWidth="1"/>
    <col min="9" max="9" width="2" style="1" customWidth="1"/>
    <col min="10" max="10" width="9.42578125" style="4" customWidth="1"/>
    <col min="11" max="16384" width="11.42578125" style="1"/>
  </cols>
  <sheetData>
    <row r="5" spans="1:10">
      <c r="B5" s="11"/>
    </row>
    <row r="7" spans="1:10" s="8" customFormat="1">
      <c r="A7" s="12"/>
      <c r="B7" s="12" t="s">
        <v>371</v>
      </c>
      <c r="C7" s="62">
        <v>2</v>
      </c>
      <c r="D7" s="65">
        <v>1.5</v>
      </c>
      <c r="E7" s="65">
        <v>1</v>
      </c>
      <c r="F7" s="65">
        <v>1</v>
      </c>
      <c r="G7" s="65">
        <v>1</v>
      </c>
      <c r="H7" s="65">
        <v>1</v>
      </c>
      <c r="J7" s="175">
        <f>SUM(C7:I7)</f>
        <v>7.5</v>
      </c>
    </row>
    <row r="9" spans="1:10">
      <c r="C9" s="63" t="s">
        <v>184</v>
      </c>
      <c r="D9" s="63" t="s">
        <v>469</v>
      </c>
      <c r="E9" s="63" t="s">
        <v>851</v>
      </c>
      <c r="F9" s="63" t="s">
        <v>472</v>
      </c>
      <c r="G9" s="63" t="s">
        <v>834</v>
      </c>
      <c r="H9" s="63" t="s">
        <v>834</v>
      </c>
      <c r="J9" s="4" t="s">
        <v>852</v>
      </c>
    </row>
    <row r="10" spans="1:10" s="7" customFormat="1">
      <c r="A10" s="13"/>
      <c r="B10" s="13" t="s">
        <v>174</v>
      </c>
      <c r="C10" s="176">
        <v>2125</v>
      </c>
      <c r="D10" s="176" t="s">
        <v>471</v>
      </c>
      <c r="E10" s="176">
        <v>2500</v>
      </c>
      <c r="F10" s="176">
        <v>2500</v>
      </c>
      <c r="G10" s="176">
        <v>2500</v>
      </c>
      <c r="H10" s="176">
        <v>2500</v>
      </c>
      <c r="J10" s="94"/>
    </row>
    <row r="11" spans="1:10">
      <c r="A11" s="10" t="s">
        <v>271</v>
      </c>
    </row>
    <row r="12" spans="1:10">
      <c r="A12" s="10" t="s">
        <v>272</v>
      </c>
    </row>
    <row r="13" spans="1:10">
      <c r="A13" s="10" t="s">
        <v>171</v>
      </c>
      <c r="B13" s="10" t="s">
        <v>273</v>
      </c>
      <c r="C13" s="39"/>
      <c r="D13" s="39"/>
      <c r="E13" s="39"/>
      <c r="F13" s="39"/>
      <c r="G13" s="39"/>
      <c r="H13" s="39"/>
      <c r="I13" s="39"/>
      <c r="J13" s="41">
        <f>SUM(C13:H13)</f>
        <v>0</v>
      </c>
    </row>
    <row r="14" spans="1:10">
      <c r="A14" s="10" t="s">
        <v>172</v>
      </c>
      <c r="B14" s="10" t="s">
        <v>274</v>
      </c>
      <c r="C14" s="39"/>
      <c r="D14" s="39"/>
      <c r="E14" s="39"/>
      <c r="F14" s="39"/>
      <c r="G14" s="39"/>
      <c r="H14" s="39"/>
      <c r="I14" s="39"/>
      <c r="J14" s="174">
        <f t="shared" ref="J14:J37" si="0">SUM(C14:H14)</f>
        <v>0</v>
      </c>
    </row>
    <row r="15" spans="1:10">
      <c r="A15" s="10" t="s">
        <v>173</v>
      </c>
      <c r="B15" s="10" t="s">
        <v>275</v>
      </c>
      <c r="C15" s="39"/>
      <c r="D15" s="39"/>
      <c r="E15" s="39"/>
      <c r="F15" s="39"/>
      <c r="G15" s="39"/>
      <c r="H15" s="39"/>
      <c r="I15" s="39"/>
      <c r="J15" s="174">
        <f t="shared" si="0"/>
        <v>0</v>
      </c>
    </row>
    <row r="16" spans="1:10">
      <c r="A16" s="10" t="s">
        <v>194</v>
      </c>
      <c r="B16" s="10" t="s">
        <v>276</v>
      </c>
      <c r="C16" s="39"/>
      <c r="D16" s="39"/>
      <c r="E16" s="39"/>
      <c r="F16" s="39"/>
      <c r="G16" s="39"/>
      <c r="H16" s="39"/>
      <c r="I16" s="39"/>
      <c r="J16" s="174">
        <f t="shared" si="0"/>
        <v>0</v>
      </c>
    </row>
    <row r="17" spans="1:10">
      <c r="A17" s="10" t="s">
        <v>195</v>
      </c>
      <c r="B17" s="10" t="s">
        <v>277</v>
      </c>
      <c r="C17" s="39"/>
      <c r="D17" s="39"/>
      <c r="E17" s="39"/>
      <c r="F17" s="39"/>
      <c r="G17" s="39"/>
      <c r="H17" s="39"/>
      <c r="I17" s="39"/>
      <c r="J17" s="174">
        <f t="shared" si="0"/>
        <v>0</v>
      </c>
    </row>
    <row r="18" spans="1:10">
      <c r="A18" s="10" t="s">
        <v>196</v>
      </c>
      <c r="B18" s="10" t="s">
        <v>278</v>
      </c>
      <c r="C18" s="39"/>
      <c r="D18" s="39"/>
      <c r="E18" s="39"/>
      <c r="F18" s="39"/>
      <c r="G18" s="39"/>
      <c r="H18" s="39"/>
      <c r="I18" s="39"/>
      <c r="J18" s="174">
        <f t="shared" si="0"/>
        <v>0</v>
      </c>
    </row>
    <row r="19" spans="1:10">
      <c r="A19" s="10" t="s">
        <v>197</v>
      </c>
      <c r="B19" s="10" t="s">
        <v>279</v>
      </c>
      <c r="C19" s="39"/>
      <c r="D19" s="39"/>
      <c r="E19" s="39"/>
      <c r="F19" s="39"/>
      <c r="G19" s="39"/>
      <c r="H19" s="39"/>
      <c r="I19" s="39"/>
      <c r="J19" s="174">
        <f t="shared" si="0"/>
        <v>0</v>
      </c>
    </row>
    <row r="20" spans="1:10">
      <c r="A20" s="10" t="s">
        <v>198</v>
      </c>
      <c r="B20" s="10" t="s">
        <v>280</v>
      </c>
      <c r="C20" s="39"/>
      <c r="D20" s="39"/>
      <c r="E20" s="39"/>
      <c r="F20" s="39"/>
      <c r="G20" s="39"/>
      <c r="H20" s="39"/>
      <c r="I20" s="39"/>
      <c r="J20" s="174">
        <f t="shared" si="0"/>
        <v>0</v>
      </c>
    </row>
    <row r="21" spans="1:10">
      <c r="A21" s="10" t="s">
        <v>199</v>
      </c>
      <c r="B21" s="10" t="s">
        <v>281</v>
      </c>
      <c r="C21" s="39"/>
      <c r="D21" s="39"/>
      <c r="E21" s="39"/>
      <c r="F21" s="39"/>
      <c r="G21" s="39"/>
      <c r="H21" s="39"/>
      <c r="I21" s="39"/>
      <c r="J21" s="174">
        <f t="shared" si="0"/>
        <v>0</v>
      </c>
    </row>
    <row r="22" spans="1:10">
      <c r="A22" s="10" t="s">
        <v>200</v>
      </c>
      <c r="B22" s="10" t="s">
        <v>282</v>
      </c>
      <c r="C22" s="39"/>
      <c r="D22" s="39"/>
      <c r="E22" s="39"/>
      <c r="F22" s="39"/>
      <c r="G22" s="39"/>
      <c r="H22" s="39"/>
      <c r="I22" s="39"/>
      <c r="J22" s="174">
        <f t="shared" si="0"/>
        <v>0</v>
      </c>
    </row>
    <row r="23" spans="1:10">
      <c r="A23" s="10" t="s">
        <v>201</v>
      </c>
      <c r="B23" s="10" t="s">
        <v>283</v>
      </c>
      <c r="C23" s="39"/>
      <c r="D23" s="39"/>
      <c r="E23" s="39"/>
      <c r="F23" s="39"/>
      <c r="G23" s="39"/>
      <c r="H23" s="39"/>
      <c r="I23" s="39"/>
      <c r="J23" s="174">
        <f t="shared" si="0"/>
        <v>0</v>
      </c>
    </row>
    <row r="24" spans="1:10">
      <c r="A24" s="10" t="s">
        <v>202</v>
      </c>
      <c r="B24" s="10" t="s">
        <v>284</v>
      </c>
      <c r="C24" s="39"/>
      <c r="D24" s="39"/>
      <c r="E24" s="39"/>
      <c r="F24" s="39"/>
      <c r="G24" s="39"/>
      <c r="H24" s="39"/>
      <c r="I24" s="39"/>
      <c r="J24" s="174">
        <f t="shared" si="0"/>
        <v>0</v>
      </c>
    </row>
    <row r="25" spans="1:10">
      <c r="A25" s="10" t="s">
        <v>203</v>
      </c>
      <c r="B25" s="10" t="s">
        <v>285</v>
      </c>
      <c r="C25" s="39"/>
      <c r="D25" s="39"/>
      <c r="E25" s="39"/>
      <c r="F25" s="39"/>
      <c r="G25" s="39"/>
      <c r="H25" s="39"/>
      <c r="I25" s="39"/>
      <c r="J25" s="174">
        <f t="shared" si="0"/>
        <v>0</v>
      </c>
    </row>
    <row r="26" spans="1:10">
      <c r="A26" s="10" t="s">
        <v>204</v>
      </c>
      <c r="B26" s="10" t="s">
        <v>286</v>
      </c>
      <c r="C26" s="39"/>
      <c r="D26" s="39"/>
      <c r="E26" s="39"/>
      <c r="F26" s="39"/>
      <c r="G26" s="39"/>
      <c r="H26" s="39"/>
      <c r="I26" s="39"/>
      <c r="J26" s="174">
        <f t="shared" si="0"/>
        <v>0</v>
      </c>
    </row>
    <row r="27" spans="1:10">
      <c r="A27" s="10" t="s">
        <v>205</v>
      </c>
      <c r="B27" s="10" t="s">
        <v>287</v>
      </c>
      <c r="C27" s="39"/>
      <c r="D27" s="39"/>
      <c r="E27" s="39"/>
      <c r="F27" s="39"/>
      <c r="G27" s="39"/>
      <c r="H27" s="39"/>
      <c r="I27" s="39"/>
      <c r="J27" s="174">
        <f t="shared" si="0"/>
        <v>0</v>
      </c>
    </row>
    <row r="28" spans="1:10">
      <c r="A28" s="10" t="s">
        <v>206</v>
      </c>
      <c r="B28" s="10" t="s">
        <v>288</v>
      </c>
      <c r="C28" s="39"/>
      <c r="D28" s="39"/>
      <c r="E28" s="39"/>
      <c r="F28" s="39"/>
      <c r="G28" s="39"/>
      <c r="H28" s="39"/>
      <c r="I28" s="39"/>
      <c r="J28" s="174">
        <f t="shared" si="0"/>
        <v>0</v>
      </c>
    </row>
    <row r="29" spans="1:10">
      <c r="A29" s="10" t="s">
        <v>207</v>
      </c>
      <c r="B29" s="10" t="s">
        <v>289</v>
      </c>
      <c r="C29" s="39"/>
      <c r="D29" s="39"/>
      <c r="E29" s="39"/>
      <c r="F29" s="39"/>
      <c r="G29" s="39"/>
      <c r="H29" s="39"/>
      <c r="I29" s="39"/>
      <c r="J29" s="174">
        <f t="shared" si="0"/>
        <v>0</v>
      </c>
    </row>
    <row r="30" spans="1:10">
      <c r="A30" s="10" t="s">
        <v>209</v>
      </c>
      <c r="B30" s="10" t="s">
        <v>290</v>
      </c>
      <c r="C30" s="39"/>
      <c r="D30" s="39"/>
      <c r="E30" s="39"/>
      <c r="F30" s="39"/>
      <c r="G30" s="39"/>
      <c r="H30" s="39"/>
      <c r="I30" s="39"/>
      <c r="J30" s="174">
        <f t="shared" si="0"/>
        <v>0</v>
      </c>
    </row>
    <row r="31" spans="1:10">
      <c r="A31" s="10" t="s">
        <v>208</v>
      </c>
      <c r="B31" s="10" t="s">
        <v>291</v>
      </c>
      <c r="C31" s="39"/>
      <c r="D31" s="39"/>
      <c r="E31" s="39">
        <f>450*12</f>
        <v>5400</v>
      </c>
      <c r="F31" s="39"/>
      <c r="G31" s="39"/>
      <c r="H31" s="39"/>
      <c r="I31" s="39"/>
      <c r="J31" s="174">
        <f t="shared" si="0"/>
        <v>5400</v>
      </c>
    </row>
    <row r="32" spans="1:10">
      <c r="A32" s="10" t="s">
        <v>210</v>
      </c>
      <c r="B32" s="10" t="s">
        <v>211</v>
      </c>
      <c r="C32" s="39"/>
      <c r="D32" s="39"/>
      <c r="E32" s="39"/>
      <c r="F32" s="39"/>
      <c r="G32" s="39"/>
      <c r="H32" s="39"/>
      <c r="I32" s="39"/>
      <c r="J32" s="174">
        <f t="shared" si="0"/>
        <v>0</v>
      </c>
    </row>
    <row r="33" spans="1:10">
      <c r="A33" s="10" t="s">
        <v>214</v>
      </c>
      <c r="B33" s="10" t="s">
        <v>215</v>
      </c>
      <c r="C33" s="39"/>
      <c r="D33" s="39"/>
      <c r="E33" s="39"/>
      <c r="F33" s="39"/>
      <c r="G33" s="39"/>
      <c r="H33" s="39"/>
      <c r="I33" s="39"/>
      <c r="J33" s="174">
        <f t="shared" si="0"/>
        <v>0</v>
      </c>
    </row>
    <row r="34" spans="1:10">
      <c r="A34" s="10" t="s">
        <v>213</v>
      </c>
      <c r="B34" s="10" t="s">
        <v>292</v>
      </c>
      <c r="C34" s="39"/>
      <c r="D34" s="39"/>
      <c r="E34" s="39"/>
      <c r="F34" s="39"/>
      <c r="G34" s="39"/>
      <c r="H34" s="39"/>
      <c r="I34" s="39"/>
      <c r="J34" s="174">
        <f t="shared" si="0"/>
        <v>0</v>
      </c>
    </row>
    <row r="35" spans="1:10">
      <c r="A35" s="10" t="s">
        <v>212</v>
      </c>
      <c r="B35" s="10" t="s">
        <v>293</v>
      </c>
      <c r="C35" s="39"/>
      <c r="D35" s="39"/>
      <c r="E35" s="39"/>
      <c r="F35" s="39"/>
      <c r="G35" s="39"/>
      <c r="H35" s="39"/>
      <c r="I35" s="39"/>
      <c r="J35" s="174">
        <f t="shared" si="0"/>
        <v>0</v>
      </c>
    </row>
    <row r="36" spans="1:10">
      <c r="A36" s="10" t="s">
        <v>216</v>
      </c>
      <c r="B36" s="10" t="s">
        <v>294</v>
      </c>
      <c r="C36" s="39"/>
      <c r="D36" s="39"/>
      <c r="E36" s="39"/>
      <c r="F36" s="39"/>
      <c r="G36" s="39"/>
      <c r="H36" s="39"/>
      <c r="I36" s="39"/>
      <c r="J36" s="174">
        <f t="shared" si="0"/>
        <v>0</v>
      </c>
    </row>
    <row r="37" spans="1:10">
      <c r="A37" s="10" t="s">
        <v>217</v>
      </c>
      <c r="B37" s="10" t="s">
        <v>295</v>
      </c>
      <c r="C37" s="40"/>
      <c r="D37" s="40"/>
      <c r="E37" s="40"/>
      <c r="F37" s="40"/>
      <c r="G37" s="40"/>
      <c r="H37" s="40"/>
      <c r="I37" s="39"/>
      <c r="J37" s="95">
        <f t="shared" si="0"/>
        <v>0</v>
      </c>
    </row>
    <row r="38" spans="1:10">
      <c r="B38" s="10" t="s">
        <v>296</v>
      </c>
      <c r="C38" s="39">
        <f t="shared" ref="C38:H38" si="1">+SUM(C13:C37)</f>
        <v>0</v>
      </c>
      <c r="D38" s="39">
        <f t="shared" si="1"/>
        <v>0</v>
      </c>
      <c r="E38" s="39">
        <f t="shared" si="1"/>
        <v>5400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/>
      <c r="J38" s="41">
        <f>SUM(J13:J37)</f>
        <v>5400</v>
      </c>
    </row>
    <row r="39" spans="1:10">
      <c r="C39" s="39"/>
      <c r="D39" s="39"/>
      <c r="E39" s="39"/>
      <c r="F39" s="39"/>
      <c r="G39" s="39"/>
      <c r="H39" s="39"/>
      <c r="I39" s="39"/>
      <c r="J39" s="41"/>
    </row>
    <row r="40" spans="1:10">
      <c r="A40" s="10" t="s">
        <v>297</v>
      </c>
      <c r="C40" s="39"/>
      <c r="D40" s="39"/>
      <c r="E40" s="39"/>
      <c r="F40" s="39"/>
      <c r="G40" s="39"/>
      <c r="H40" s="39"/>
      <c r="I40" s="39"/>
      <c r="J40" s="174">
        <f t="shared" ref="J40:J48" si="2">SUM(C40:H40)</f>
        <v>0</v>
      </c>
    </row>
    <row r="41" spans="1:10">
      <c r="A41" s="10" t="s">
        <v>218</v>
      </c>
      <c r="B41" s="10" t="s">
        <v>298</v>
      </c>
      <c r="C41" s="39"/>
      <c r="D41" s="39"/>
      <c r="E41" s="39"/>
      <c r="F41" s="39"/>
      <c r="G41" s="39"/>
      <c r="H41" s="39"/>
      <c r="I41" s="39"/>
      <c r="J41" s="174">
        <f t="shared" si="2"/>
        <v>0</v>
      </c>
    </row>
    <row r="42" spans="1:10">
      <c r="A42" s="10" t="s">
        <v>219</v>
      </c>
      <c r="B42" s="10" t="s">
        <v>220</v>
      </c>
      <c r="C42" s="39"/>
      <c r="D42" s="39"/>
      <c r="E42" s="39"/>
      <c r="F42" s="39"/>
      <c r="G42" s="39"/>
      <c r="H42" s="39"/>
      <c r="I42" s="39"/>
      <c r="J42" s="174">
        <f t="shared" si="2"/>
        <v>0</v>
      </c>
    </row>
    <row r="43" spans="1:10">
      <c r="A43" s="10" t="s">
        <v>221</v>
      </c>
      <c r="B43" s="10" t="s">
        <v>222</v>
      </c>
      <c r="C43" s="39"/>
      <c r="D43" s="39"/>
      <c r="E43" s="39"/>
      <c r="F43" s="39"/>
      <c r="G43" s="39"/>
      <c r="H43" s="39"/>
      <c r="I43" s="39"/>
      <c r="J43" s="174">
        <f t="shared" si="2"/>
        <v>0</v>
      </c>
    </row>
    <row r="44" spans="1:10">
      <c r="A44" s="10" t="s">
        <v>223</v>
      </c>
      <c r="B44" s="10" t="s">
        <v>299</v>
      </c>
      <c r="C44" s="39"/>
      <c r="D44" s="39"/>
      <c r="E44" s="39"/>
      <c r="F44" s="39"/>
      <c r="G44" s="39"/>
      <c r="H44" s="39"/>
      <c r="I44" s="39"/>
      <c r="J44" s="174">
        <f t="shared" si="2"/>
        <v>0</v>
      </c>
    </row>
    <row r="45" spans="1:10">
      <c r="A45" s="10" t="s">
        <v>224</v>
      </c>
      <c r="B45" s="10" t="s">
        <v>225</v>
      </c>
      <c r="C45" s="39"/>
      <c r="D45" s="39"/>
      <c r="E45" s="39"/>
      <c r="F45" s="39"/>
      <c r="G45" s="39"/>
      <c r="H45" s="39"/>
      <c r="I45" s="39"/>
      <c r="J45" s="174">
        <f t="shared" si="2"/>
        <v>0</v>
      </c>
    </row>
    <row r="46" spans="1:10">
      <c r="A46" s="10" t="s">
        <v>226</v>
      </c>
      <c r="B46" s="10" t="s">
        <v>227</v>
      </c>
      <c r="C46" s="39"/>
      <c r="D46" s="39"/>
      <c r="E46" s="39"/>
      <c r="F46" s="39"/>
      <c r="G46" s="39"/>
      <c r="H46" s="39"/>
      <c r="I46" s="39"/>
      <c r="J46" s="174">
        <f t="shared" si="2"/>
        <v>0</v>
      </c>
    </row>
    <row r="47" spans="1:10">
      <c r="A47" s="10" t="s">
        <v>228</v>
      </c>
      <c r="B47" s="10" t="s">
        <v>300</v>
      </c>
      <c r="C47" s="39"/>
      <c r="D47" s="39"/>
      <c r="E47" s="39"/>
      <c r="F47" s="39"/>
      <c r="G47" s="39"/>
      <c r="H47" s="39"/>
      <c r="I47" s="39"/>
      <c r="J47" s="174">
        <f t="shared" si="2"/>
        <v>0</v>
      </c>
    </row>
    <row r="48" spans="1:10">
      <c r="A48" s="10" t="s">
        <v>229</v>
      </c>
      <c r="B48" s="10" t="s">
        <v>301</v>
      </c>
      <c r="C48" s="40"/>
      <c r="D48" s="40"/>
      <c r="E48" s="40"/>
      <c r="F48" s="40"/>
      <c r="G48" s="40"/>
      <c r="H48" s="40"/>
      <c r="I48" s="39"/>
      <c r="J48" s="95">
        <f t="shared" si="2"/>
        <v>0</v>
      </c>
    </row>
    <row r="49" spans="1:10">
      <c r="B49" s="10" t="s">
        <v>302</v>
      </c>
      <c r="C49" s="39">
        <f t="shared" ref="C49:H49" si="3">+SUM(C41:C48)</f>
        <v>0</v>
      </c>
      <c r="D49" s="39">
        <f t="shared" si="3"/>
        <v>0</v>
      </c>
      <c r="E49" s="39">
        <f t="shared" si="3"/>
        <v>0</v>
      </c>
      <c r="F49" s="39">
        <f t="shared" si="3"/>
        <v>0</v>
      </c>
      <c r="G49" s="39">
        <f t="shared" si="3"/>
        <v>0</v>
      </c>
      <c r="H49" s="39">
        <f t="shared" si="3"/>
        <v>0</v>
      </c>
      <c r="I49" s="39"/>
      <c r="J49" s="41">
        <f>SUM(J41:J48)</f>
        <v>0</v>
      </c>
    </row>
    <row r="50" spans="1:10">
      <c r="C50" s="39"/>
      <c r="D50" s="39"/>
      <c r="E50" s="39"/>
      <c r="F50" s="39"/>
      <c r="G50" s="39"/>
      <c r="H50" s="39"/>
      <c r="I50" s="39"/>
      <c r="J50" s="41"/>
    </row>
    <row r="51" spans="1:10">
      <c r="A51" s="10" t="s">
        <v>303</v>
      </c>
      <c r="C51" s="39"/>
      <c r="D51" s="39"/>
      <c r="E51" s="39"/>
      <c r="F51" s="39"/>
      <c r="G51" s="39"/>
      <c r="H51" s="39"/>
      <c r="I51" s="39"/>
      <c r="J51" s="41"/>
    </row>
    <row r="52" spans="1:10">
      <c r="A52" s="10" t="s">
        <v>304</v>
      </c>
      <c r="C52" s="39"/>
      <c r="D52" s="39"/>
      <c r="E52" s="39"/>
      <c r="F52" s="39"/>
      <c r="G52" s="39"/>
      <c r="H52" s="39"/>
      <c r="I52" s="39"/>
      <c r="J52" s="41"/>
    </row>
    <row r="53" spans="1:10">
      <c r="A53" s="10" t="s">
        <v>230</v>
      </c>
      <c r="B53" s="10" t="s">
        <v>407</v>
      </c>
      <c r="C53" s="39"/>
      <c r="D53" s="39"/>
      <c r="E53" s="39"/>
      <c r="F53" s="39"/>
      <c r="G53" s="39"/>
      <c r="H53" s="39"/>
      <c r="I53" s="39"/>
      <c r="J53" s="174">
        <f t="shared" ref="J53:J65" si="4">SUM(C53:H53)</f>
        <v>0</v>
      </c>
    </row>
    <row r="54" spans="1:10">
      <c r="A54" s="10" t="s">
        <v>231</v>
      </c>
      <c r="B54" s="10" t="s">
        <v>408</v>
      </c>
      <c r="C54" s="39"/>
      <c r="D54" s="39"/>
      <c r="E54" s="39"/>
      <c r="F54" s="39"/>
      <c r="G54" s="39"/>
      <c r="H54" s="39"/>
      <c r="I54" s="39"/>
      <c r="J54" s="174">
        <f t="shared" si="4"/>
        <v>0</v>
      </c>
    </row>
    <row r="55" spans="1:10">
      <c r="A55" s="10" t="s">
        <v>232</v>
      </c>
      <c r="B55" s="10" t="s">
        <v>409</v>
      </c>
      <c r="C55" s="39"/>
      <c r="D55" s="39"/>
      <c r="E55" s="39"/>
      <c r="F55" s="39"/>
      <c r="G55" s="39"/>
      <c r="H55" s="39"/>
      <c r="I55" s="39"/>
      <c r="J55" s="174">
        <f t="shared" si="4"/>
        <v>0</v>
      </c>
    </row>
    <row r="56" spans="1:10">
      <c r="A56" s="10" t="s">
        <v>233</v>
      </c>
      <c r="B56" s="10" t="s">
        <v>305</v>
      </c>
      <c r="C56" s="39"/>
      <c r="D56" s="39"/>
      <c r="E56" s="39"/>
      <c r="F56" s="39"/>
      <c r="G56" s="39"/>
      <c r="H56" s="39"/>
      <c r="I56" s="39"/>
      <c r="J56" s="174">
        <f t="shared" si="4"/>
        <v>0</v>
      </c>
    </row>
    <row r="57" spans="1:10">
      <c r="A57" s="10" t="s">
        <v>234</v>
      </c>
      <c r="B57" s="10" t="s">
        <v>306</v>
      </c>
      <c r="C57" s="39"/>
      <c r="D57" s="39"/>
      <c r="E57" s="39"/>
      <c r="F57" s="39"/>
      <c r="G57" s="39"/>
      <c r="H57" s="39"/>
      <c r="I57" s="39"/>
      <c r="J57" s="174">
        <f t="shared" si="4"/>
        <v>0</v>
      </c>
    </row>
    <row r="58" spans="1:10">
      <c r="A58" s="10" t="s">
        <v>0</v>
      </c>
      <c r="B58" s="10" t="s">
        <v>307</v>
      </c>
      <c r="C58" s="39"/>
      <c r="D58" s="39"/>
      <c r="E58" s="39"/>
      <c r="F58" s="39"/>
      <c r="G58" s="39"/>
      <c r="H58" s="39"/>
      <c r="I58" s="39"/>
      <c r="J58" s="174">
        <f t="shared" si="4"/>
        <v>0</v>
      </c>
    </row>
    <row r="59" spans="1:10">
      <c r="A59" s="10" t="s">
        <v>1</v>
      </c>
      <c r="B59" s="10" t="s">
        <v>308</v>
      </c>
      <c r="C59" s="39"/>
      <c r="D59" s="39"/>
      <c r="E59" s="39"/>
      <c r="F59" s="39"/>
      <c r="G59" s="39"/>
      <c r="H59" s="39"/>
      <c r="I59" s="39"/>
      <c r="J59" s="174">
        <f t="shared" si="4"/>
        <v>0</v>
      </c>
    </row>
    <row r="60" spans="1:10">
      <c r="A60" s="10" t="s">
        <v>3</v>
      </c>
      <c r="B60" s="10" t="s">
        <v>2</v>
      </c>
      <c r="C60" s="39"/>
      <c r="D60" s="39"/>
      <c r="E60" s="39"/>
      <c r="F60" s="39"/>
      <c r="G60" s="39"/>
      <c r="H60" s="39"/>
      <c r="I60" s="39"/>
      <c r="J60" s="174">
        <f t="shared" si="4"/>
        <v>0</v>
      </c>
    </row>
    <row r="61" spans="1:10">
      <c r="A61" s="10" t="s">
        <v>4</v>
      </c>
      <c r="B61" s="10" t="s">
        <v>5</v>
      </c>
      <c r="C61" s="39"/>
      <c r="D61" s="39"/>
      <c r="E61" s="39"/>
      <c r="F61" s="39"/>
      <c r="G61" s="39"/>
      <c r="H61" s="39"/>
      <c r="I61" s="39"/>
      <c r="J61" s="174">
        <f t="shared" si="4"/>
        <v>0</v>
      </c>
    </row>
    <row r="62" spans="1:10">
      <c r="A62" s="10" t="s">
        <v>6</v>
      </c>
      <c r="B62" s="10" t="s">
        <v>7</v>
      </c>
      <c r="C62" s="39"/>
      <c r="D62" s="39"/>
      <c r="E62" s="39"/>
      <c r="F62" s="39"/>
      <c r="G62" s="39"/>
      <c r="H62" s="39"/>
      <c r="I62" s="39"/>
      <c r="J62" s="174">
        <f t="shared" si="4"/>
        <v>0</v>
      </c>
    </row>
    <row r="63" spans="1:10">
      <c r="A63" s="10" t="s">
        <v>8</v>
      </c>
      <c r="B63" s="10" t="s">
        <v>9</v>
      </c>
      <c r="C63" s="39"/>
      <c r="D63" s="39"/>
      <c r="E63" s="39"/>
      <c r="F63" s="39"/>
      <c r="G63" s="39"/>
      <c r="H63" s="39"/>
      <c r="I63" s="39"/>
      <c r="J63" s="174">
        <f t="shared" si="4"/>
        <v>0</v>
      </c>
    </row>
    <row r="64" spans="1:10">
      <c r="A64" s="10" t="s">
        <v>11</v>
      </c>
      <c r="B64" s="10" t="s">
        <v>310</v>
      </c>
      <c r="C64" s="39"/>
      <c r="D64" s="39"/>
      <c r="E64" s="39"/>
      <c r="F64" s="39"/>
      <c r="G64" s="39"/>
      <c r="H64" s="39"/>
      <c r="I64" s="39"/>
      <c r="J64" s="174">
        <f t="shared" si="4"/>
        <v>0</v>
      </c>
    </row>
    <row r="65" spans="1:10">
      <c r="A65" s="10" t="s">
        <v>10</v>
      </c>
      <c r="B65" s="10" t="s">
        <v>309</v>
      </c>
      <c r="C65" s="40"/>
      <c r="D65" s="40"/>
      <c r="E65" s="40"/>
      <c r="F65" s="40"/>
      <c r="G65" s="40"/>
      <c r="H65" s="40"/>
      <c r="I65" s="39"/>
      <c r="J65" s="95">
        <f t="shared" si="4"/>
        <v>0</v>
      </c>
    </row>
    <row r="66" spans="1:10">
      <c r="B66" s="10" t="s">
        <v>311</v>
      </c>
      <c r="C66" s="39">
        <f t="shared" ref="C66:H66" si="5">+SUM(C53:C65)</f>
        <v>0</v>
      </c>
      <c r="D66" s="39">
        <f t="shared" si="5"/>
        <v>0</v>
      </c>
      <c r="E66" s="39">
        <f t="shared" si="5"/>
        <v>0</v>
      </c>
      <c r="F66" s="39">
        <f t="shared" si="5"/>
        <v>0</v>
      </c>
      <c r="G66" s="39">
        <f t="shared" si="5"/>
        <v>0</v>
      </c>
      <c r="H66" s="39">
        <f t="shared" si="5"/>
        <v>0</v>
      </c>
      <c r="I66" s="39"/>
      <c r="J66" s="41">
        <f>SUM(J53:J65)</f>
        <v>0</v>
      </c>
    </row>
    <row r="67" spans="1:10">
      <c r="C67" s="39"/>
      <c r="D67" s="39"/>
      <c r="E67" s="39"/>
      <c r="F67" s="39"/>
      <c r="G67" s="39"/>
      <c r="H67" s="39"/>
      <c r="I67" s="39"/>
      <c r="J67" s="41"/>
    </row>
    <row r="68" spans="1:10" s="4" customFormat="1" ht="10.5">
      <c r="A68" s="14"/>
      <c r="B68" s="14" t="s">
        <v>312</v>
      </c>
      <c r="C68" s="41">
        <f t="shared" ref="C68:H68" si="6">+C66+C49+C38</f>
        <v>0</v>
      </c>
      <c r="D68" s="41">
        <f t="shared" si="6"/>
        <v>0</v>
      </c>
      <c r="E68" s="41">
        <f t="shared" si="6"/>
        <v>5400</v>
      </c>
      <c r="F68" s="41">
        <f t="shared" si="6"/>
        <v>0</v>
      </c>
      <c r="G68" s="41">
        <f t="shared" si="6"/>
        <v>0</v>
      </c>
      <c r="H68" s="41">
        <f t="shared" si="6"/>
        <v>0</v>
      </c>
      <c r="I68" s="41"/>
      <c r="J68" s="41">
        <f>SUM(J38+J49+J66)</f>
        <v>5400</v>
      </c>
    </row>
    <row r="69" spans="1:10">
      <c r="C69" s="39"/>
      <c r="D69" s="39"/>
      <c r="E69" s="39"/>
      <c r="F69" s="39"/>
      <c r="G69" s="39"/>
      <c r="H69" s="39"/>
      <c r="I69" s="39"/>
      <c r="J69" s="41"/>
    </row>
    <row r="70" spans="1:10">
      <c r="A70" s="10" t="s">
        <v>313</v>
      </c>
      <c r="C70" s="39"/>
      <c r="D70" s="39"/>
      <c r="E70" s="39"/>
      <c r="F70" s="39"/>
      <c r="G70" s="39"/>
      <c r="H70" s="39"/>
      <c r="I70" s="39"/>
      <c r="J70" s="41"/>
    </row>
    <row r="71" spans="1:10">
      <c r="A71" s="10" t="s">
        <v>314</v>
      </c>
      <c r="C71" s="39"/>
      <c r="D71" s="39"/>
      <c r="E71" s="39"/>
      <c r="F71" s="39"/>
      <c r="G71" s="39"/>
      <c r="H71" s="39"/>
      <c r="I71" s="39"/>
      <c r="J71" s="41"/>
    </row>
    <row r="72" spans="1:10">
      <c r="A72" s="10" t="s">
        <v>19</v>
      </c>
      <c r="B72" s="10" t="s">
        <v>323</v>
      </c>
      <c r="C72" s="39"/>
      <c r="D72" s="39">
        <f>90000*0.5</f>
        <v>45000</v>
      </c>
      <c r="E72" s="39">
        <f ca="1">SUM('12-2013 Ret Emp'!I78)</f>
        <v>66069.350000000006</v>
      </c>
      <c r="F72" s="39"/>
      <c r="G72" s="39"/>
      <c r="H72" s="39"/>
      <c r="I72" s="39"/>
      <c r="J72" s="174">
        <f t="shared" ref="J72:J79" si="7">SUM(C72:H72)</f>
        <v>111069.35</v>
      </c>
    </row>
    <row r="73" spans="1:10">
      <c r="A73" s="10" t="s">
        <v>12</v>
      </c>
      <c r="B73" s="10" t="s">
        <v>315</v>
      </c>
      <c r="C73" s="39"/>
      <c r="D73" s="39"/>
      <c r="E73" s="39"/>
      <c r="F73" s="39"/>
      <c r="G73" s="39"/>
      <c r="H73" s="39"/>
      <c r="I73" s="39"/>
      <c r="J73" s="174">
        <f t="shared" si="7"/>
        <v>0</v>
      </c>
    </row>
    <row r="74" spans="1:10">
      <c r="A74" s="10" t="s">
        <v>13</v>
      </c>
      <c r="B74" s="10" t="s">
        <v>316</v>
      </c>
      <c r="C74" s="39"/>
      <c r="D74" s="39"/>
      <c r="E74" s="39"/>
      <c r="F74" s="39"/>
      <c r="G74" s="39"/>
      <c r="H74" s="39"/>
      <c r="I74" s="39"/>
      <c r="J74" s="174">
        <f t="shared" si="7"/>
        <v>0</v>
      </c>
    </row>
    <row r="75" spans="1:10">
      <c r="A75" s="10" t="s">
        <v>14</v>
      </c>
      <c r="B75" s="10" t="s">
        <v>317</v>
      </c>
      <c r="C75" s="39"/>
      <c r="D75" s="39"/>
      <c r="E75" s="39"/>
      <c r="F75" s="39"/>
      <c r="G75" s="39"/>
      <c r="H75" s="39"/>
      <c r="I75" s="39"/>
      <c r="J75" s="174">
        <f t="shared" si="7"/>
        <v>0</v>
      </c>
    </row>
    <row r="76" spans="1:10">
      <c r="A76" s="10" t="s">
        <v>15</v>
      </c>
      <c r="B76" s="10" t="s">
        <v>318</v>
      </c>
      <c r="C76" s="39"/>
      <c r="D76" s="39"/>
      <c r="E76" s="39"/>
      <c r="F76" s="39">
        <f ca="1">SUM('12-2013 Ret Emp'!I77)</f>
        <v>42341.641432199998</v>
      </c>
      <c r="G76" s="39"/>
      <c r="H76" s="39"/>
      <c r="I76" s="39"/>
      <c r="J76" s="174">
        <f t="shared" si="7"/>
        <v>42341.641432199998</v>
      </c>
    </row>
    <row r="77" spans="1:10">
      <c r="A77" s="10" t="s">
        <v>16</v>
      </c>
      <c r="B77" s="10" t="s">
        <v>319</v>
      </c>
      <c r="C77" s="39">
        <f ca="1">SUM('12-2013 Ret Emp'!I70+'12-2013 Ret Emp'!I71*2080)</f>
        <v>69138.956000000006</v>
      </c>
      <c r="D77" s="39">
        <f ca="1">SUM('OP-SCH'!D40)*0.5</f>
        <v>22460.123697710489</v>
      </c>
      <c r="E77" s="39"/>
      <c r="F77" s="39"/>
      <c r="G77" s="39">
        <f ca="1">SUM('12-2013 Ret Emp'!I95*2080)</f>
        <v>26780</v>
      </c>
      <c r="H77" s="39">
        <f ca="1">+'STF-SCH'!D28*H7</f>
        <v>29061.45</v>
      </c>
      <c r="I77" s="39"/>
      <c r="J77" s="174">
        <f t="shared" si="7"/>
        <v>147440.5296977105</v>
      </c>
    </row>
    <row r="78" spans="1:10">
      <c r="A78" s="10" t="s">
        <v>17</v>
      </c>
      <c r="B78" s="10" t="s">
        <v>320</v>
      </c>
      <c r="C78" s="39"/>
      <c r="D78" s="39"/>
      <c r="E78" s="39"/>
      <c r="F78" s="39"/>
      <c r="G78" s="39"/>
      <c r="H78" s="39"/>
      <c r="I78" s="39"/>
      <c r="J78" s="174">
        <f t="shared" si="7"/>
        <v>0</v>
      </c>
    </row>
    <row r="79" spans="1:10" ht="14.25" customHeight="1">
      <c r="A79" s="10" t="s">
        <v>18</v>
      </c>
      <c r="B79" s="10" t="s">
        <v>322</v>
      </c>
      <c r="C79" s="40"/>
      <c r="D79" s="40"/>
      <c r="E79" s="40"/>
      <c r="F79" s="40"/>
      <c r="G79" s="40"/>
      <c r="H79" s="40"/>
      <c r="I79" s="39"/>
      <c r="J79" s="95">
        <f t="shared" si="7"/>
        <v>0</v>
      </c>
    </row>
    <row r="80" spans="1:10">
      <c r="B80" s="10" t="s">
        <v>24</v>
      </c>
      <c r="C80" s="39">
        <f t="shared" ref="C80:H80" si="8">SUM(C72:C79)</f>
        <v>69138.956000000006</v>
      </c>
      <c r="D80" s="39">
        <f t="shared" si="8"/>
        <v>67460.123697710485</v>
      </c>
      <c r="E80" s="39">
        <f t="shared" si="8"/>
        <v>66069.350000000006</v>
      </c>
      <c r="F80" s="39">
        <f t="shared" si="8"/>
        <v>42341.641432199998</v>
      </c>
      <c r="G80" s="39">
        <f t="shared" si="8"/>
        <v>26780</v>
      </c>
      <c r="H80" s="39">
        <f t="shared" si="8"/>
        <v>29061.45</v>
      </c>
      <c r="I80" s="39"/>
      <c r="J80" s="41">
        <f>SUM(J72:J79)</f>
        <v>300851.52112991048</v>
      </c>
    </row>
    <row r="81" spans="1:10">
      <c r="C81" s="39"/>
      <c r="D81" s="39"/>
      <c r="E81" s="39"/>
      <c r="F81" s="39"/>
      <c r="G81" s="39"/>
      <c r="H81" s="39"/>
      <c r="I81" s="39"/>
      <c r="J81" s="41"/>
    </row>
    <row r="82" spans="1:10">
      <c r="C82" s="39"/>
      <c r="D82" s="39"/>
      <c r="E82" s="39"/>
      <c r="F82" s="39"/>
      <c r="G82" s="39"/>
      <c r="H82" s="39"/>
      <c r="I82" s="39"/>
      <c r="J82" s="41"/>
    </row>
    <row r="83" spans="1:10">
      <c r="A83" s="16" t="s">
        <v>325</v>
      </c>
      <c r="C83" s="39"/>
      <c r="D83" s="39"/>
      <c r="E83" s="39"/>
      <c r="F83" s="39"/>
      <c r="G83" s="39"/>
      <c r="H83" s="39"/>
      <c r="I83" s="39"/>
      <c r="J83" s="41"/>
    </row>
    <row r="84" spans="1:10">
      <c r="A84" s="10" t="s">
        <v>20</v>
      </c>
      <c r="B84" s="10" t="s">
        <v>324</v>
      </c>
      <c r="C84" s="39"/>
      <c r="D84" s="39"/>
      <c r="E84" s="39"/>
      <c r="F84" s="39"/>
      <c r="G84" s="39"/>
      <c r="H84" s="39"/>
      <c r="I84" s="39"/>
      <c r="J84" s="174">
        <f>SUM(C84:H84)</f>
        <v>0</v>
      </c>
    </row>
    <row r="85" spans="1:10">
      <c r="A85" s="10" t="s">
        <v>21</v>
      </c>
      <c r="B85" s="10" t="s">
        <v>325</v>
      </c>
      <c r="C85" s="39"/>
      <c r="D85" s="39"/>
      <c r="E85" s="39"/>
      <c r="F85" s="39"/>
      <c r="G85" s="39"/>
      <c r="H85" s="39"/>
      <c r="I85" s="39"/>
      <c r="J85" s="174">
        <f>SUM(C85:H85)</f>
        <v>0</v>
      </c>
    </row>
    <row r="86" spans="1:10">
      <c r="A86" s="10" t="s">
        <v>440</v>
      </c>
      <c r="B86" s="10" t="s">
        <v>441</v>
      </c>
      <c r="C86" s="39">
        <v>1500</v>
      </c>
      <c r="D86" s="39"/>
      <c r="E86" s="39"/>
      <c r="F86" s="39"/>
      <c r="G86" s="39">
        <v>750</v>
      </c>
      <c r="H86" s="39">
        <v>750</v>
      </c>
      <c r="I86" s="39"/>
      <c r="J86" s="174">
        <f>SUM(C86:H86)</f>
        <v>3000</v>
      </c>
    </row>
    <row r="87" spans="1:10">
      <c r="A87" s="10" t="s">
        <v>22</v>
      </c>
      <c r="B87" s="10" t="s">
        <v>23</v>
      </c>
      <c r="C87" s="40"/>
      <c r="D87" s="40"/>
      <c r="E87" s="40"/>
      <c r="F87" s="40"/>
      <c r="G87" s="40"/>
      <c r="H87" s="40"/>
      <c r="I87" s="39"/>
      <c r="J87" s="95">
        <f>SUM(C87:H87)</f>
        <v>0</v>
      </c>
    </row>
    <row r="88" spans="1:10">
      <c r="B88" s="10" t="s">
        <v>326</v>
      </c>
      <c r="C88" s="39">
        <f t="shared" ref="C88:H88" si="9">+SUM(C84:C87)</f>
        <v>1500</v>
      </c>
      <c r="D88" s="39">
        <f t="shared" si="9"/>
        <v>0</v>
      </c>
      <c r="E88" s="39">
        <f t="shared" si="9"/>
        <v>0</v>
      </c>
      <c r="F88" s="39">
        <f t="shared" si="9"/>
        <v>0</v>
      </c>
      <c r="G88" s="39">
        <f t="shared" si="9"/>
        <v>750</v>
      </c>
      <c r="H88" s="39">
        <f t="shared" si="9"/>
        <v>750</v>
      </c>
      <c r="I88" s="39"/>
      <c r="J88" s="41">
        <f>SUM(J84:J87)</f>
        <v>3000</v>
      </c>
    </row>
    <row r="89" spans="1:10">
      <c r="C89" s="39"/>
      <c r="D89" s="39"/>
      <c r="E89" s="39"/>
      <c r="F89" s="39"/>
      <c r="G89" s="39"/>
      <c r="H89" s="39"/>
      <c r="I89" s="39"/>
      <c r="J89" s="41"/>
    </row>
    <row r="90" spans="1:10">
      <c r="B90" s="10" t="s">
        <v>327</v>
      </c>
      <c r="C90" s="39">
        <f t="shared" ref="C90:H90" si="10">SUM(C80+C88)</f>
        <v>70638.956000000006</v>
      </c>
      <c r="D90" s="39">
        <f t="shared" si="10"/>
        <v>67460.123697710485</v>
      </c>
      <c r="E90" s="39">
        <f t="shared" si="10"/>
        <v>66069.350000000006</v>
      </c>
      <c r="F90" s="39">
        <f t="shared" si="10"/>
        <v>42341.641432199998</v>
      </c>
      <c r="G90" s="39">
        <f t="shared" si="10"/>
        <v>27530</v>
      </c>
      <c r="H90" s="39">
        <f t="shared" si="10"/>
        <v>29811.45</v>
      </c>
      <c r="I90" s="39"/>
      <c r="J90" s="41">
        <f>SUM(J80+J88)</f>
        <v>303851.52112991048</v>
      </c>
    </row>
    <row r="91" spans="1:10">
      <c r="C91" s="39"/>
      <c r="D91" s="39"/>
      <c r="E91" s="39"/>
      <c r="F91" s="39"/>
      <c r="G91" s="39"/>
      <c r="H91" s="39"/>
      <c r="I91" s="39"/>
      <c r="J91" s="41"/>
    </row>
    <row r="92" spans="1:10">
      <c r="A92" s="10" t="s">
        <v>328</v>
      </c>
      <c r="C92" s="39"/>
      <c r="D92" s="39"/>
      <c r="E92" s="39"/>
      <c r="F92" s="39"/>
      <c r="G92" s="39"/>
      <c r="H92" s="39"/>
      <c r="I92" s="39"/>
      <c r="J92" s="41"/>
    </row>
    <row r="93" spans="1:10">
      <c r="A93" s="10" t="s">
        <v>25</v>
      </c>
      <c r="B93" s="10" t="s">
        <v>33</v>
      </c>
      <c r="C93" s="39">
        <f t="shared" ref="C93:H93" si="11">+C$7*139.64*2*1.05*12</f>
        <v>7037.8559999999998</v>
      </c>
      <c r="D93" s="39">
        <f t="shared" si="11"/>
        <v>5278.3919999999998</v>
      </c>
      <c r="E93" s="39">
        <f t="shared" si="11"/>
        <v>3518.9279999999999</v>
      </c>
      <c r="F93" s="39">
        <f t="shared" si="11"/>
        <v>3518.9279999999999</v>
      </c>
      <c r="G93" s="39">
        <f t="shared" si="11"/>
        <v>3518.9279999999999</v>
      </c>
      <c r="H93" s="39">
        <f t="shared" si="11"/>
        <v>3518.9279999999999</v>
      </c>
      <c r="I93" s="39"/>
      <c r="J93" s="174">
        <f t="shared" ref="J93:J101" si="12">SUM(C93:H93)</f>
        <v>26391.96</v>
      </c>
    </row>
    <row r="94" spans="1:10">
      <c r="A94" s="10" t="s">
        <v>26</v>
      </c>
      <c r="B94" s="10" t="s">
        <v>34</v>
      </c>
      <c r="C94" s="39">
        <f t="shared" ref="C94:H94" si="13">+C$7*8.74*2*1.02*12</f>
        <v>427.91039999999998</v>
      </c>
      <c r="D94" s="39">
        <f t="shared" si="13"/>
        <v>320.93279999999999</v>
      </c>
      <c r="E94" s="39">
        <f t="shared" si="13"/>
        <v>213.95519999999999</v>
      </c>
      <c r="F94" s="39">
        <f t="shared" si="13"/>
        <v>213.95519999999999</v>
      </c>
      <c r="G94" s="39">
        <f t="shared" si="13"/>
        <v>213.95519999999999</v>
      </c>
      <c r="H94" s="39">
        <f t="shared" si="13"/>
        <v>213.95519999999999</v>
      </c>
      <c r="I94" s="39"/>
      <c r="J94" s="174">
        <f t="shared" si="12"/>
        <v>1604.6639999999998</v>
      </c>
    </row>
    <row r="95" spans="1:10">
      <c r="A95" s="10" t="s">
        <v>28</v>
      </c>
      <c r="B95" s="10" t="s">
        <v>27</v>
      </c>
      <c r="C95" s="39">
        <f t="shared" ref="C95:H95" si="14">(+C$88-C$84+C$80)*0.062</f>
        <v>4379.615272</v>
      </c>
      <c r="D95" s="39">
        <f t="shared" si="14"/>
        <v>4182.5276692580501</v>
      </c>
      <c r="E95" s="39">
        <f t="shared" si="14"/>
        <v>4096.2997000000005</v>
      </c>
      <c r="F95" s="39">
        <f t="shared" si="14"/>
        <v>2625.1817687963999</v>
      </c>
      <c r="G95" s="39">
        <f t="shared" si="14"/>
        <v>1706.86</v>
      </c>
      <c r="H95" s="39">
        <f t="shared" si="14"/>
        <v>1848.3099</v>
      </c>
      <c r="I95" s="39"/>
      <c r="J95" s="174">
        <f t="shared" si="12"/>
        <v>18838.794310054451</v>
      </c>
    </row>
    <row r="96" spans="1:10">
      <c r="A96" s="10" t="s">
        <v>30</v>
      </c>
      <c r="B96" s="10" t="s">
        <v>29</v>
      </c>
      <c r="C96" s="39">
        <f t="shared" ref="C96:H96" si="15">(+C$88-C$84+C$80)*0.0145</f>
        <v>1024.2648620000002</v>
      </c>
      <c r="D96" s="39">
        <f t="shared" si="15"/>
        <v>978.17179361680212</v>
      </c>
      <c r="E96" s="39">
        <f t="shared" si="15"/>
        <v>958.00557500000014</v>
      </c>
      <c r="F96" s="39">
        <f t="shared" si="15"/>
        <v>613.95380076690003</v>
      </c>
      <c r="G96" s="39">
        <f t="shared" si="15"/>
        <v>399.185</v>
      </c>
      <c r="H96" s="39">
        <f t="shared" si="15"/>
        <v>432.26602500000001</v>
      </c>
      <c r="I96" s="39"/>
      <c r="J96" s="174">
        <f t="shared" si="12"/>
        <v>4405.8470563837027</v>
      </c>
    </row>
    <row r="97" spans="1:10">
      <c r="A97" s="10" t="s">
        <v>31</v>
      </c>
      <c r="B97" s="10" t="s">
        <v>32</v>
      </c>
      <c r="C97" s="39">
        <f t="shared" ref="C97:H97" si="16">(+C$88-C$84+C$80)*0.06</f>
        <v>4238.3373600000004</v>
      </c>
      <c r="D97" s="39">
        <f t="shared" si="16"/>
        <v>4047.6074218626291</v>
      </c>
      <c r="E97" s="39">
        <f t="shared" si="16"/>
        <v>3964.1610000000001</v>
      </c>
      <c r="F97" s="39">
        <f t="shared" si="16"/>
        <v>2540.4984859319998</v>
      </c>
      <c r="G97" s="39">
        <f t="shared" si="16"/>
        <v>1651.8</v>
      </c>
      <c r="H97" s="39">
        <f t="shared" si="16"/>
        <v>1788.6869999999999</v>
      </c>
      <c r="I97" s="39"/>
      <c r="J97" s="174">
        <f t="shared" si="12"/>
        <v>18231.091267794625</v>
      </c>
    </row>
    <row r="98" spans="1:10">
      <c r="A98" s="10" t="s">
        <v>36</v>
      </c>
      <c r="B98" s="10" t="s">
        <v>35</v>
      </c>
      <c r="C98" s="39">
        <f t="shared" ref="C98:H98" si="17">(+C$88-C$84+C$80)*0.0056</f>
        <v>395.57815360000001</v>
      </c>
      <c r="D98" s="39">
        <f t="shared" si="17"/>
        <v>377.77669270717871</v>
      </c>
      <c r="E98" s="39">
        <f t="shared" si="17"/>
        <v>369.98836000000006</v>
      </c>
      <c r="F98" s="39">
        <f t="shared" si="17"/>
        <v>237.11319202031999</v>
      </c>
      <c r="G98" s="39">
        <f t="shared" si="17"/>
        <v>154.16800000000001</v>
      </c>
      <c r="H98" s="39">
        <f t="shared" si="17"/>
        <v>166.94412</v>
      </c>
      <c r="I98" s="39"/>
      <c r="J98" s="174">
        <f t="shared" si="12"/>
        <v>1701.5685183274986</v>
      </c>
    </row>
    <row r="99" spans="1:10">
      <c r="A99" s="10" t="s">
        <v>38</v>
      </c>
      <c r="B99" s="10" t="s">
        <v>37</v>
      </c>
      <c r="C99" s="39">
        <f t="shared" ref="C99:H99" si="18">+C$7*7700*0.0201</f>
        <v>309.54000000000002</v>
      </c>
      <c r="D99" s="39">
        <f t="shared" si="18"/>
        <v>232.155</v>
      </c>
      <c r="E99" s="39">
        <f t="shared" si="18"/>
        <v>154.77000000000001</v>
      </c>
      <c r="F99" s="39">
        <f t="shared" si="18"/>
        <v>154.77000000000001</v>
      </c>
      <c r="G99" s="39">
        <f t="shared" si="18"/>
        <v>154.77000000000001</v>
      </c>
      <c r="H99" s="39">
        <f t="shared" si="18"/>
        <v>154.77000000000001</v>
      </c>
      <c r="I99" s="39"/>
      <c r="J99" s="174">
        <f t="shared" si="12"/>
        <v>1160.7750000000001</v>
      </c>
    </row>
    <row r="100" spans="1:10">
      <c r="A100" s="10" t="s">
        <v>83</v>
      </c>
      <c r="B100" s="10" t="s">
        <v>84</v>
      </c>
      <c r="C100" s="39"/>
      <c r="D100" s="39"/>
      <c r="E100" s="39"/>
      <c r="F100" s="39"/>
      <c r="G100" s="39"/>
      <c r="H100" s="39"/>
      <c r="I100" s="39"/>
      <c r="J100" s="174">
        <f t="shared" si="12"/>
        <v>0</v>
      </c>
    </row>
    <row r="101" spans="1:10">
      <c r="A101" s="10" t="s">
        <v>39</v>
      </c>
      <c r="B101" s="10" t="s">
        <v>40</v>
      </c>
      <c r="C101" s="40">
        <f t="shared" ref="C101:H101" si="19">(+C$88-C$84+C$80)*(0.0024+0.0036+0.0013)</f>
        <v>515.66437880000001</v>
      </c>
      <c r="D101" s="40">
        <f t="shared" si="19"/>
        <v>492.45890299328653</v>
      </c>
      <c r="E101" s="40">
        <f t="shared" si="19"/>
        <v>482.30625500000002</v>
      </c>
      <c r="F101" s="40">
        <f t="shared" si="19"/>
        <v>309.09398245505997</v>
      </c>
      <c r="G101" s="40">
        <f t="shared" si="19"/>
        <v>200.96899999999999</v>
      </c>
      <c r="H101" s="40">
        <f t="shared" si="19"/>
        <v>217.62358500000002</v>
      </c>
      <c r="I101" s="39"/>
      <c r="J101" s="95">
        <f t="shared" si="12"/>
        <v>2218.1161042483463</v>
      </c>
    </row>
    <row r="102" spans="1:10">
      <c r="B102" s="10" t="s">
        <v>235</v>
      </c>
      <c r="C102" s="39">
        <f t="shared" ref="C102:H102" si="20">SUM(C93:C101)</f>
        <v>18328.766426400001</v>
      </c>
      <c r="D102" s="39">
        <f t="shared" si="20"/>
        <v>15910.022280437948</v>
      </c>
      <c r="E102" s="39">
        <f t="shared" si="20"/>
        <v>13758.414089999998</v>
      </c>
      <c r="F102" s="39">
        <f t="shared" si="20"/>
        <v>10213.49442997068</v>
      </c>
      <c r="G102" s="39">
        <f t="shared" si="20"/>
        <v>8000.6352000000006</v>
      </c>
      <c r="H102" s="39">
        <f t="shared" si="20"/>
        <v>8341.4838299999992</v>
      </c>
      <c r="I102" s="39"/>
      <c r="J102" s="41">
        <f>SUM(J93:J101)</f>
        <v>74552.816256808612</v>
      </c>
    </row>
    <row r="103" spans="1:10">
      <c r="C103" s="39"/>
      <c r="D103" s="39"/>
      <c r="E103" s="39"/>
      <c r="F103" s="39"/>
      <c r="G103" s="39"/>
      <c r="H103" s="39"/>
      <c r="I103" s="39"/>
      <c r="J103" s="41"/>
    </row>
    <row r="104" spans="1:10" s="4" customFormat="1" ht="10.5">
      <c r="A104" s="14"/>
      <c r="B104" s="14" t="s">
        <v>236</v>
      </c>
      <c r="C104" s="41">
        <f>SUM(C90+C102)</f>
        <v>88967.722426400011</v>
      </c>
      <c r="D104" s="41">
        <f t="shared" ref="D104:J104" si="21">SUM(D90+D102)</f>
        <v>83370.14597814843</v>
      </c>
      <c r="E104" s="41">
        <f t="shared" si="21"/>
        <v>79827.764090000011</v>
      </c>
      <c r="F104" s="41">
        <f t="shared" si="21"/>
        <v>52555.135862170675</v>
      </c>
      <c r="G104" s="41">
        <f t="shared" si="21"/>
        <v>35530.635200000004</v>
      </c>
      <c r="H104" s="41">
        <f t="shared" si="21"/>
        <v>38152.933830000002</v>
      </c>
      <c r="I104" s="41"/>
      <c r="J104" s="41">
        <f t="shared" si="21"/>
        <v>378404.33738671907</v>
      </c>
    </row>
    <row r="105" spans="1:10">
      <c r="C105" s="39"/>
      <c r="D105" s="39"/>
      <c r="E105" s="39"/>
      <c r="F105" s="39"/>
      <c r="G105" s="39"/>
      <c r="H105" s="39"/>
      <c r="I105" s="39"/>
      <c r="J105" s="41"/>
    </row>
    <row r="106" spans="1:10">
      <c r="A106" s="10" t="s">
        <v>237</v>
      </c>
      <c r="C106" s="39"/>
      <c r="D106" s="39"/>
      <c r="E106" s="39"/>
      <c r="F106" s="39"/>
      <c r="G106" s="39"/>
      <c r="H106" s="39"/>
      <c r="I106" s="39"/>
      <c r="J106" s="41"/>
    </row>
    <row r="107" spans="1:10">
      <c r="A107" s="10" t="s">
        <v>238</v>
      </c>
      <c r="C107" s="39"/>
      <c r="D107" s="39"/>
      <c r="E107" s="39"/>
      <c r="F107" s="39"/>
      <c r="G107" s="39"/>
      <c r="H107" s="39"/>
      <c r="I107" s="39"/>
      <c r="J107" s="41"/>
    </row>
    <row r="108" spans="1:10">
      <c r="A108" s="10" t="s">
        <v>51</v>
      </c>
      <c r="B108" s="10" t="s">
        <v>50</v>
      </c>
      <c r="C108" s="39"/>
      <c r="D108" s="39">
        <v>12500</v>
      </c>
      <c r="E108" s="39"/>
      <c r="F108" s="39"/>
      <c r="G108" s="39"/>
      <c r="H108" s="39"/>
      <c r="I108" s="39"/>
      <c r="J108" s="174">
        <f t="shared" ref="J108:J121" si="22">SUM(C108:H108)</f>
        <v>12500</v>
      </c>
    </row>
    <row r="109" spans="1:10">
      <c r="A109" s="10" t="s">
        <v>41</v>
      </c>
      <c r="B109" s="10" t="s">
        <v>42</v>
      </c>
      <c r="C109" s="39"/>
      <c r="D109" s="39"/>
      <c r="E109" s="39"/>
      <c r="F109" s="39"/>
      <c r="G109" s="39"/>
      <c r="H109" s="39"/>
      <c r="I109" s="39"/>
      <c r="J109" s="174">
        <f t="shared" si="22"/>
        <v>0</v>
      </c>
    </row>
    <row r="110" spans="1:10">
      <c r="A110" s="10" t="s">
        <v>43</v>
      </c>
      <c r="B110" s="10" t="s">
        <v>239</v>
      </c>
      <c r="C110" s="39">
        <f>250+2000</f>
        <v>2250</v>
      </c>
      <c r="D110" s="39">
        <v>2500</v>
      </c>
      <c r="E110" s="39">
        <v>2500</v>
      </c>
      <c r="F110" s="39">
        <v>1000</v>
      </c>
      <c r="G110" s="39">
        <v>1000</v>
      </c>
      <c r="H110" s="39">
        <v>1000</v>
      </c>
      <c r="I110" s="39"/>
      <c r="J110" s="174">
        <f t="shared" si="22"/>
        <v>10250</v>
      </c>
    </row>
    <row r="111" spans="1:10">
      <c r="A111" s="10" t="s">
        <v>44</v>
      </c>
      <c r="B111" s="10" t="s">
        <v>45</v>
      </c>
      <c r="C111" s="39"/>
      <c r="D111" s="39"/>
      <c r="E111" s="39"/>
      <c r="F111" s="39"/>
      <c r="G111" s="39"/>
      <c r="H111" s="39"/>
      <c r="I111" s="39"/>
      <c r="J111" s="174">
        <f t="shared" si="22"/>
        <v>0</v>
      </c>
    </row>
    <row r="112" spans="1:10">
      <c r="A112" s="10" t="s">
        <v>46</v>
      </c>
      <c r="B112" s="10" t="s">
        <v>240</v>
      </c>
      <c r="C112" s="39"/>
      <c r="D112" s="39"/>
      <c r="E112" s="39"/>
      <c r="F112" s="39"/>
      <c r="G112" s="39"/>
      <c r="H112" s="39"/>
      <c r="I112" s="39"/>
      <c r="J112" s="174">
        <f t="shared" si="22"/>
        <v>0</v>
      </c>
    </row>
    <row r="113" spans="1:10">
      <c r="A113" s="10" t="s">
        <v>47</v>
      </c>
      <c r="B113" s="10" t="s">
        <v>241</v>
      </c>
      <c r="C113" s="39"/>
      <c r="D113" s="39"/>
      <c r="E113" s="39">
        <v>27500</v>
      </c>
      <c r="F113" s="39"/>
      <c r="G113" s="39"/>
      <c r="H113" s="39"/>
      <c r="I113" s="39"/>
      <c r="J113" s="174">
        <f t="shared" si="22"/>
        <v>27500</v>
      </c>
    </row>
    <row r="114" spans="1:10">
      <c r="A114" s="10" t="s">
        <v>48</v>
      </c>
      <c r="B114" s="10" t="s">
        <v>49</v>
      </c>
      <c r="C114" s="39"/>
      <c r="D114" s="39"/>
      <c r="E114" s="39"/>
      <c r="F114" s="39"/>
      <c r="G114" s="39"/>
      <c r="H114" s="39"/>
      <c r="I114" s="39"/>
      <c r="J114" s="174">
        <f t="shared" si="22"/>
        <v>0</v>
      </c>
    </row>
    <row r="115" spans="1:10">
      <c r="A115" s="10" t="s">
        <v>82</v>
      </c>
      <c r="B115" s="10" t="s">
        <v>166</v>
      </c>
      <c r="C115" s="39"/>
      <c r="D115" s="39"/>
      <c r="E115" s="39"/>
      <c r="F115" s="39"/>
      <c r="G115" s="39"/>
      <c r="H115" s="39"/>
      <c r="I115" s="39"/>
      <c r="J115" s="174">
        <f t="shared" si="22"/>
        <v>0</v>
      </c>
    </row>
    <row r="116" spans="1:10">
      <c r="A116" s="10" t="s">
        <v>104</v>
      </c>
      <c r="B116" s="10" t="s">
        <v>103</v>
      </c>
      <c r="C116" s="39"/>
      <c r="D116" s="39"/>
      <c r="E116" s="39"/>
      <c r="F116" s="39"/>
      <c r="G116" s="39"/>
      <c r="H116" s="39"/>
      <c r="I116" s="39"/>
      <c r="J116" s="174">
        <f t="shared" si="22"/>
        <v>0</v>
      </c>
    </row>
    <row r="117" spans="1:10">
      <c r="A117" s="10" t="s">
        <v>59</v>
      </c>
      <c r="B117" s="10" t="s">
        <v>321</v>
      </c>
      <c r="C117" s="39"/>
      <c r="D117" s="39"/>
      <c r="E117" s="39"/>
      <c r="F117" s="39"/>
      <c r="G117" s="39"/>
      <c r="H117" s="39"/>
      <c r="I117" s="39"/>
      <c r="J117" s="174">
        <f t="shared" si="22"/>
        <v>0</v>
      </c>
    </row>
    <row r="118" spans="1:10">
      <c r="A118" s="10" t="s">
        <v>87</v>
      </c>
      <c r="B118" s="10" t="s">
        <v>88</v>
      </c>
      <c r="C118" s="39"/>
      <c r="D118" s="39"/>
      <c r="E118" s="39"/>
      <c r="F118" s="39"/>
      <c r="G118" s="39"/>
      <c r="H118" s="39"/>
      <c r="I118" s="39"/>
      <c r="J118" s="174">
        <f t="shared" si="22"/>
        <v>0</v>
      </c>
    </row>
    <row r="119" spans="1:10">
      <c r="A119" s="10" t="s">
        <v>89</v>
      </c>
      <c r="B119" s="10" t="s">
        <v>90</v>
      </c>
      <c r="C119" s="39"/>
      <c r="D119" s="39"/>
      <c r="E119" s="39"/>
      <c r="F119" s="39"/>
      <c r="G119" s="39"/>
      <c r="H119" s="39"/>
      <c r="I119" s="39"/>
      <c r="J119" s="174">
        <f t="shared" si="22"/>
        <v>0</v>
      </c>
    </row>
    <row r="120" spans="1:10">
      <c r="A120" s="10" t="s">
        <v>843</v>
      </c>
      <c r="B120" s="10" t="s">
        <v>451</v>
      </c>
      <c r="C120" s="39"/>
      <c r="D120" s="39"/>
      <c r="E120" s="39"/>
      <c r="F120" s="39"/>
      <c r="G120" s="39"/>
      <c r="H120" s="39"/>
      <c r="I120" s="39"/>
      <c r="J120" s="174">
        <f t="shared" si="22"/>
        <v>0</v>
      </c>
    </row>
    <row r="121" spans="1:10">
      <c r="A121" s="10" t="s">
        <v>52</v>
      </c>
      <c r="B121" s="10" t="s">
        <v>53</v>
      </c>
      <c r="C121" s="40"/>
      <c r="D121" s="40"/>
      <c r="E121" s="40"/>
      <c r="F121" s="40"/>
      <c r="G121" s="40"/>
      <c r="H121" s="40"/>
      <c r="I121" s="39"/>
      <c r="J121" s="95">
        <f t="shared" si="22"/>
        <v>0</v>
      </c>
    </row>
    <row r="122" spans="1:10">
      <c r="B122" s="10" t="s">
        <v>242</v>
      </c>
      <c r="C122" s="39">
        <f t="shared" ref="C122:H122" si="23">SUM(C108:C121)</f>
        <v>2250</v>
      </c>
      <c r="D122" s="39">
        <f t="shared" si="23"/>
        <v>15000</v>
      </c>
      <c r="E122" s="39">
        <f t="shared" si="23"/>
        <v>30000</v>
      </c>
      <c r="F122" s="39">
        <f t="shared" si="23"/>
        <v>1000</v>
      </c>
      <c r="G122" s="39">
        <f t="shared" si="23"/>
        <v>1000</v>
      </c>
      <c r="H122" s="39">
        <f t="shared" si="23"/>
        <v>1000</v>
      </c>
      <c r="I122" s="39"/>
      <c r="J122" s="41">
        <f>SUM(J108:J121)</f>
        <v>50250</v>
      </c>
    </row>
    <row r="123" spans="1:10">
      <c r="C123" s="39"/>
      <c r="D123" s="39"/>
      <c r="E123" s="39"/>
      <c r="F123" s="39"/>
      <c r="G123" s="39"/>
      <c r="H123" s="39"/>
      <c r="I123" s="39"/>
      <c r="J123" s="41"/>
    </row>
    <row r="124" spans="1:10">
      <c r="A124" s="10" t="s">
        <v>243</v>
      </c>
      <c r="C124" s="39"/>
      <c r="D124" s="39"/>
      <c r="E124" s="39"/>
      <c r="F124" s="39"/>
      <c r="G124" s="39"/>
      <c r="H124" s="39"/>
      <c r="I124" s="39"/>
      <c r="J124" s="41"/>
    </row>
    <row r="125" spans="1:10">
      <c r="A125" s="10" t="s">
        <v>56</v>
      </c>
      <c r="B125" s="10" t="s">
        <v>246</v>
      </c>
      <c r="C125" s="39"/>
      <c r="D125" s="39"/>
      <c r="E125" s="39"/>
      <c r="F125" s="39"/>
      <c r="G125" s="39"/>
      <c r="H125" s="39"/>
      <c r="I125" s="39"/>
      <c r="J125" s="174">
        <f t="shared" ref="J125:J132" si="24">SUM(C125:H125)</f>
        <v>0</v>
      </c>
    </row>
    <row r="126" spans="1:10">
      <c r="A126" s="10" t="s">
        <v>57</v>
      </c>
      <c r="B126" s="10" t="s">
        <v>247</v>
      </c>
      <c r="C126" s="39"/>
      <c r="D126" s="39"/>
      <c r="E126" s="39">
        <f>+(20*3)*12</f>
        <v>720</v>
      </c>
      <c r="F126" s="39"/>
      <c r="G126" s="39"/>
      <c r="H126" s="39"/>
      <c r="I126" s="39"/>
      <c r="J126" s="174">
        <f t="shared" si="24"/>
        <v>720</v>
      </c>
    </row>
    <row r="127" spans="1:10">
      <c r="A127" s="10" t="s">
        <v>58</v>
      </c>
      <c r="B127" s="10" t="s">
        <v>248</v>
      </c>
      <c r="C127" s="39"/>
      <c r="D127" s="39"/>
      <c r="E127" s="39"/>
      <c r="F127" s="39"/>
      <c r="G127" s="39"/>
      <c r="H127" s="39"/>
      <c r="I127" s="39"/>
      <c r="J127" s="174">
        <f t="shared" si="24"/>
        <v>0</v>
      </c>
    </row>
    <row r="128" spans="1:10">
      <c r="A128" s="10" t="s">
        <v>55</v>
      </c>
      <c r="B128" s="10" t="s">
        <v>245</v>
      </c>
      <c r="C128" s="39"/>
      <c r="D128" s="39"/>
      <c r="E128" s="39"/>
      <c r="F128" s="39"/>
      <c r="G128" s="39"/>
      <c r="H128" s="39"/>
      <c r="I128" s="39"/>
      <c r="J128" s="174">
        <f t="shared" si="24"/>
        <v>0</v>
      </c>
    </row>
    <row r="129" spans="1:10" ht="10.5" customHeight="1">
      <c r="A129" s="10" t="s">
        <v>54</v>
      </c>
      <c r="B129" s="10" t="s">
        <v>244</v>
      </c>
      <c r="C129" s="39"/>
      <c r="D129" s="39"/>
      <c r="E129" s="39"/>
      <c r="F129" s="39"/>
      <c r="G129" s="39"/>
      <c r="H129" s="39"/>
      <c r="I129" s="39"/>
      <c r="J129" s="174">
        <f t="shared" si="24"/>
        <v>0</v>
      </c>
    </row>
    <row r="130" spans="1:10">
      <c r="A130" s="10" t="s">
        <v>60</v>
      </c>
      <c r="B130" s="10" t="s">
        <v>61</v>
      </c>
      <c r="C130" s="39"/>
      <c r="D130" s="39"/>
      <c r="E130" s="39"/>
      <c r="F130" s="39"/>
      <c r="G130" s="39"/>
      <c r="H130" s="39"/>
      <c r="I130" s="39"/>
      <c r="J130" s="174">
        <f t="shared" si="24"/>
        <v>0</v>
      </c>
    </row>
    <row r="131" spans="1:10">
      <c r="A131" s="63" t="s">
        <v>844</v>
      </c>
      <c r="B131" s="10" t="s">
        <v>449</v>
      </c>
      <c r="C131" s="39"/>
      <c r="D131" s="39"/>
      <c r="E131" s="39"/>
      <c r="F131" s="39"/>
      <c r="G131" s="39"/>
      <c r="H131" s="39"/>
      <c r="I131" s="39"/>
      <c r="J131" s="174">
        <f t="shared" si="24"/>
        <v>0</v>
      </c>
    </row>
    <row r="132" spans="1:10">
      <c r="A132" s="10" t="s">
        <v>62</v>
      </c>
      <c r="B132" s="10" t="s">
        <v>249</v>
      </c>
      <c r="C132" s="40"/>
      <c r="D132" s="40"/>
      <c r="E132" s="40"/>
      <c r="F132" s="40"/>
      <c r="G132" s="40"/>
      <c r="H132" s="40"/>
      <c r="I132" s="39"/>
      <c r="J132" s="95">
        <f t="shared" si="24"/>
        <v>0</v>
      </c>
    </row>
    <row r="133" spans="1:10">
      <c r="B133" s="10" t="s">
        <v>250</v>
      </c>
      <c r="C133" s="39">
        <f t="shared" ref="C133:H133" si="25">SUM(C125:C132)</f>
        <v>0</v>
      </c>
      <c r="D133" s="39">
        <f t="shared" si="25"/>
        <v>0</v>
      </c>
      <c r="E133" s="39">
        <f t="shared" si="25"/>
        <v>720</v>
      </c>
      <c r="F133" s="39">
        <f t="shared" si="25"/>
        <v>0</v>
      </c>
      <c r="G133" s="39">
        <f t="shared" si="25"/>
        <v>0</v>
      </c>
      <c r="H133" s="39">
        <f t="shared" si="25"/>
        <v>0</v>
      </c>
      <c r="I133" s="39"/>
      <c r="J133" s="41">
        <f>SUM(J125:J132)</f>
        <v>720</v>
      </c>
    </row>
    <row r="134" spans="1:10">
      <c r="C134" s="39"/>
      <c r="D134" s="39"/>
      <c r="E134" s="39"/>
      <c r="F134" s="39"/>
      <c r="G134" s="39"/>
      <c r="H134" s="39"/>
      <c r="I134" s="39"/>
      <c r="J134" s="41">
        <f>+SUM(D134:F134)</f>
        <v>0</v>
      </c>
    </row>
    <row r="135" spans="1:10">
      <c r="A135" s="10" t="s">
        <v>251</v>
      </c>
      <c r="C135" s="39"/>
      <c r="D135" s="39"/>
      <c r="E135" s="39"/>
      <c r="F135" s="39"/>
      <c r="G135" s="39"/>
      <c r="H135" s="39"/>
      <c r="I135" s="39"/>
      <c r="J135" s="41"/>
    </row>
    <row r="136" spans="1:10">
      <c r="A136" s="10" t="s">
        <v>252</v>
      </c>
      <c r="C136" s="39"/>
      <c r="D136" s="39"/>
      <c r="E136" s="39"/>
      <c r="F136" s="39"/>
      <c r="G136" s="39"/>
      <c r="H136" s="39"/>
      <c r="I136" s="39"/>
      <c r="J136" s="41"/>
    </row>
    <row r="137" spans="1:10">
      <c r="A137" s="10" t="s">
        <v>63</v>
      </c>
      <c r="B137" s="10" t="s">
        <v>253</v>
      </c>
      <c r="C137" s="39"/>
      <c r="D137" s="39"/>
      <c r="E137" s="39"/>
      <c r="F137" s="39"/>
      <c r="G137" s="39"/>
      <c r="H137" s="39"/>
      <c r="I137" s="39"/>
      <c r="J137" s="174">
        <f>SUM(C137:H137)</f>
        <v>0</v>
      </c>
    </row>
    <row r="138" spans="1:10">
      <c r="A138" s="10" t="s">
        <v>64</v>
      </c>
      <c r="B138" s="10" t="s">
        <v>254</v>
      </c>
      <c r="C138" s="39"/>
      <c r="D138" s="39"/>
      <c r="E138" s="39"/>
      <c r="F138" s="39"/>
      <c r="G138" s="39"/>
      <c r="H138" s="39"/>
      <c r="I138" s="39"/>
      <c r="J138" s="174">
        <f>SUM(C138:H138)</f>
        <v>0</v>
      </c>
    </row>
    <row r="139" spans="1:10">
      <c r="A139" s="10" t="s">
        <v>454</v>
      </c>
      <c r="B139" s="10" t="s">
        <v>455</v>
      </c>
      <c r="C139" s="39"/>
      <c r="D139" s="39"/>
      <c r="E139" s="39"/>
      <c r="F139" s="39"/>
      <c r="G139" s="39"/>
      <c r="H139" s="39"/>
      <c r="I139" s="39"/>
      <c r="J139" s="174">
        <f>SUM(C139:H139)</f>
        <v>0</v>
      </c>
    </row>
    <row r="140" spans="1:10">
      <c r="A140" s="10" t="s">
        <v>65</v>
      </c>
      <c r="B140" s="10" t="s">
        <v>255</v>
      </c>
      <c r="C140" s="40"/>
      <c r="D140" s="40"/>
      <c r="E140" s="40"/>
      <c r="F140" s="40"/>
      <c r="G140" s="40"/>
      <c r="H140" s="40"/>
      <c r="I140" s="39"/>
      <c r="J140" s="95">
        <f>SUM(C140:H140)</f>
        <v>0</v>
      </c>
    </row>
    <row r="141" spans="1:10">
      <c r="B141" s="10" t="s">
        <v>256</v>
      </c>
      <c r="C141" s="39">
        <f t="shared" ref="C141:H141" si="26">SUM(C137:C140)</f>
        <v>0</v>
      </c>
      <c r="D141" s="39">
        <f t="shared" si="26"/>
        <v>0</v>
      </c>
      <c r="E141" s="39">
        <f t="shared" si="26"/>
        <v>0</v>
      </c>
      <c r="F141" s="39">
        <f t="shared" si="26"/>
        <v>0</v>
      </c>
      <c r="G141" s="39">
        <f t="shared" si="26"/>
        <v>0</v>
      </c>
      <c r="H141" s="39">
        <f t="shared" si="26"/>
        <v>0</v>
      </c>
      <c r="I141" s="39"/>
      <c r="J141" s="41">
        <f>SUM(J137:J140)</f>
        <v>0</v>
      </c>
    </row>
    <row r="142" spans="1:10">
      <c r="C142" s="39"/>
      <c r="D142" s="39"/>
      <c r="E142" s="39"/>
      <c r="F142" s="39"/>
      <c r="G142" s="39"/>
      <c r="H142" s="39"/>
      <c r="I142" s="39"/>
      <c r="J142" s="41"/>
    </row>
    <row r="143" spans="1:10">
      <c r="A143" s="10" t="s">
        <v>257</v>
      </c>
      <c r="C143" s="39"/>
      <c r="D143" s="39"/>
      <c r="E143" s="39"/>
      <c r="F143" s="39"/>
      <c r="G143" s="39"/>
      <c r="H143" s="39"/>
      <c r="I143" s="39"/>
      <c r="J143" s="41"/>
    </row>
    <row r="144" spans="1:10">
      <c r="A144" s="10" t="s">
        <v>66</v>
      </c>
      <c r="B144" s="10" t="s">
        <v>258</v>
      </c>
      <c r="C144" s="39"/>
      <c r="D144" s="39"/>
      <c r="E144" s="39"/>
      <c r="F144" s="39"/>
      <c r="G144" s="39"/>
      <c r="H144" s="39"/>
      <c r="I144" s="39"/>
      <c r="J144" s="174">
        <f t="shared" ref="J144:J149" si="27">SUM(C144:H144)</f>
        <v>0</v>
      </c>
    </row>
    <row r="145" spans="1:10">
      <c r="A145" s="10" t="s">
        <v>67</v>
      </c>
      <c r="B145" s="10" t="s">
        <v>259</v>
      </c>
      <c r="C145" s="39"/>
      <c r="D145" s="39"/>
      <c r="E145" s="39"/>
      <c r="F145" s="39"/>
      <c r="G145" s="39"/>
      <c r="H145" s="39"/>
      <c r="I145" s="39"/>
      <c r="J145" s="174">
        <f t="shared" si="27"/>
        <v>0</v>
      </c>
    </row>
    <row r="146" spans="1:10">
      <c r="A146" s="10" t="s">
        <v>68</v>
      </c>
      <c r="B146" s="10" t="s">
        <v>260</v>
      </c>
      <c r="C146" s="39"/>
      <c r="D146" s="39">
        <f>55*12</f>
        <v>660</v>
      </c>
      <c r="E146" s="39">
        <f>55*12</f>
        <v>660</v>
      </c>
      <c r="F146" s="39"/>
      <c r="G146" s="39"/>
      <c r="H146" s="39"/>
      <c r="I146" s="39"/>
      <c r="J146" s="174">
        <f t="shared" si="27"/>
        <v>1320</v>
      </c>
    </row>
    <row r="147" spans="1:10">
      <c r="A147" s="10" t="s">
        <v>69</v>
      </c>
      <c r="B147" s="10" t="s">
        <v>261</v>
      </c>
      <c r="C147" s="39"/>
      <c r="D147" s="39"/>
      <c r="E147" s="39"/>
      <c r="F147" s="39"/>
      <c r="G147" s="39"/>
      <c r="H147" s="39"/>
      <c r="I147" s="39"/>
      <c r="J147" s="174">
        <f t="shared" si="27"/>
        <v>0</v>
      </c>
    </row>
    <row r="148" spans="1:10" ht="12" customHeight="1">
      <c r="A148" s="10" t="s">
        <v>70</v>
      </c>
      <c r="B148" s="10" t="s">
        <v>262</v>
      </c>
      <c r="C148" s="39">
        <f ca="1">2*SUM(SUM!B5:B7)</f>
        <v>2246</v>
      </c>
      <c r="D148" s="39"/>
      <c r="E148" s="39"/>
      <c r="F148" s="39">
        <f>0.45*12*200</f>
        <v>1080</v>
      </c>
      <c r="G148" s="39"/>
      <c r="H148" s="39"/>
      <c r="I148" s="39"/>
      <c r="J148" s="174">
        <f t="shared" si="27"/>
        <v>3326</v>
      </c>
    </row>
    <row r="149" spans="1:10">
      <c r="A149" s="10" t="s">
        <v>462</v>
      </c>
      <c r="B149" s="10" t="s">
        <v>464</v>
      </c>
      <c r="C149" s="40"/>
      <c r="D149" s="40"/>
      <c r="E149" s="40">
        <v>3200</v>
      </c>
      <c r="F149" s="40"/>
      <c r="G149" s="40"/>
      <c r="H149" s="40"/>
      <c r="I149" s="39"/>
      <c r="J149" s="95">
        <f t="shared" si="27"/>
        <v>3200</v>
      </c>
    </row>
    <row r="150" spans="1:10">
      <c r="B150" s="10" t="s">
        <v>263</v>
      </c>
      <c r="C150" s="39">
        <f t="shared" ref="C150:H150" si="28">SUM(C144:C149)</f>
        <v>2246</v>
      </c>
      <c r="D150" s="39">
        <f t="shared" si="28"/>
        <v>660</v>
      </c>
      <c r="E150" s="39">
        <f t="shared" si="28"/>
        <v>3860</v>
      </c>
      <c r="F150" s="39">
        <f t="shared" si="28"/>
        <v>1080</v>
      </c>
      <c r="G150" s="39">
        <f t="shared" si="28"/>
        <v>0</v>
      </c>
      <c r="H150" s="39">
        <f t="shared" si="28"/>
        <v>0</v>
      </c>
      <c r="I150" s="39"/>
      <c r="J150" s="41">
        <f>SUM(J144:J149)</f>
        <v>7846</v>
      </c>
    </row>
    <row r="151" spans="1:10">
      <c r="C151" s="39"/>
      <c r="D151" s="39"/>
      <c r="E151" s="39"/>
      <c r="F151" s="39"/>
      <c r="G151" s="39"/>
      <c r="H151" s="39"/>
      <c r="I151" s="39"/>
      <c r="J151" s="41"/>
    </row>
    <row r="152" spans="1:10">
      <c r="A152" s="10" t="s">
        <v>264</v>
      </c>
      <c r="C152" s="39"/>
      <c r="D152" s="39"/>
      <c r="E152" s="39"/>
      <c r="F152" s="39"/>
      <c r="G152" s="39"/>
      <c r="H152" s="39"/>
      <c r="I152" s="39"/>
      <c r="J152" s="41"/>
    </row>
    <row r="153" spans="1:10">
      <c r="A153" s="10" t="s">
        <v>265</v>
      </c>
      <c r="C153" s="39"/>
      <c r="D153" s="39"/>
      <c r="E153" s="39"/>
      <c r="F153" s="39"/>
      <c r="G153" s="39"/>
      <c r="H153" s="39"/>
      <c r="I153" s="39"/>
      <c r="J153" s="41"/>
    </row>
    <row r="154" spans="1:10">
      <c r="A154" s="10" t="s">
        <v>71</v>
      </c>
      <c r="B154" s="10" t="s">
        <v>72</v>
      </c>
      <c r="C154" s="40">
        <f>500+250+1500</f>
        <v>2250</v>
      </c>
      <c r="D154" s="40">
        <v>600</v>
      </c>
      <c r="E154" s="40">
        <v>500</v>
      </c>
      <c r="F154" s="40">
        <v>200</v>
      </c>
      <c r="G154" s="40">
        <v>100</v>
      </c>
      <c r="H154" s="40">
        <v>100</v>
      </c>
      <c r="I154" s="39"/>
      <c r="J154" s="95">
        <f>SUM(C154:H154)</f>
        <v>3750</v>
      </c>
    </row>
    <row r="155" spans="1:10">
      <c r="B155" s="10" t="s">
        <v>266</v>
      </c>
      <c r="C155" s="39">
        <f t="shared" ref="C155:H155" si="29">SUM(C154)</f>
        <v>2250</v>
      </c>
      <c r="D155" s="39">
        <f t="shared" si="29"/>
        <v>600</v>
      </c>
      <c r="E155" s="39">
        <f t="shared" si="29"/>
        <v>500</v>
      </c>
      <c r="F155" s="39">
        <f t="shared" si="29"/>
        <v>200</v>
      </c>
      <c r="G155" s="39">
        <f t="shared" si="29"/>
        <v>100</v>
      </c>
      <c r="H155" s="39">
        <f t="shared" si="29"/>
        <v>100</v>
      </c>
      <c r="I155" s="39"/>
      <c r="J155" s="41">
        <f>SUM(J154)</f>
        <v>3750</v>
      </c>
    </row>
    <row r="156" spans="1:10">
      <c r="C156" s="39"/>
      <c r="D156" s="39"/>
      <c r="E156" s="39"/>
      <c r="F156" s="39"/>
      <c r="G156" s="39"/>
      <c r="H156" s="39"/>
      <c r="I156" s="39"/>
      <c r="J156" s="41"/>
    </row>
    <row r="157" spans="1:10">
      <c r="A157" s="10" t="s">
        <v>267</v>
      </c>
      <c r="C157" s="39"/>
      <c r="D157" s="39"/>
      <c r="E157" s="39"/>
      <c r="F157" s="39"/>
      <c r="G157" s="39"/>
      <c r="H157" s="39"/>
      <c r="I157" s="39"/>
      <c r="J157" s="41"/>
    </row>
    <row r="158" spans="1:10">
      <c r="A158" s="10" t="s">
        <v>73</v>
      </c>
      <c r="B158" s="10" t="s">
        <v>74</v>
      </c>
      <c r="C158" s="39">
        <f ca="1">(4*SUM!B5)+150</f>
        <v>2690</v>
      </c>
      <c r="D158" s="39">
        <v>100</v>
      </c>
      <c r="E158" s="39">
        <v>100</v>
      </c>
      <c r="F158" s="39">
        <v>500</v>
      </c>
      <c r="G158" s="39">
        <v>150</v>
      </c>
      <c r="H158" s="39">
        <v>150</v>
      </c>
      <c r="I158" s="39"/>
      <c r="J158" s="174">
        <f t="shared" ref="J158:J170" si="30">SUM(C158:H158)</f>
        <v>3690</v>
      </c>
    </row>
    <row r="159" spans="1:10">
      <c r="A159" s="10" t="s">
        <v>75</v>
      </c>
      <c r="B159" s="10" t="s">
        <v>154</v>
      </c>
      <c r="C159" s="39">
        <v>15000</v>
      </c>
      <c r="D159" s="39"/>
      <c r="E159" s="39">
        <v>6000</v>
      </c>
      <c r="F159" s="39"/>
      <c r="G159" s="39"/>
      <c r="H159" s="39"/>
      <c r="I159" s="39"/>
      <c r="J159" s="174">
        <f t="shared" si="30"/>
        <v>21000</v>
      </c>
    </row>
    <row r="160" spans="1:10">
      <c r="A160" s="10" t="s">
        <v>456</v>
      </c>
      <c r="B160" s="10" t="s">
        <v>97</v>
      </c>
      <c r="C160" s="39"/>
      <c r="D160" s="39"/>
      <c r="E160" s="39"/>
      <c r="F160" s="39"/>
      <c r="G160" s="39"/>
      <c r="H160" s="39"/>
      <c r="I160" s="39"/>
      <c r="J160" s="174">
        <f t="shared" si="30"/>
        <v>0</v>
      </c>
    </row>
    <row r="161" spans="1:10">
      <c r="A161" s="10" t="s">
        <v>457</v>
      </c>
      <c r="B161" s="10" t="s">
        <v>458</v>
      </c>
      <c r="C161" s="39"/>
      <c r="D161" s="39"/>
      <c r="E161" s="39"/>
      <c r="F161" s="39"/>
      <c r="G161" s="39"/>
      <c r="H161" s="39"/>
      <c r="I161" s="39"/>
      <c r="J161" s="174">
        <f t="shared" si="30"/>
        <v>0</v>
      </c>
    </row>
    <row r="162" spans="1:10">
      <c r="A162" s="10" t="s">
        <v>459</v>
      </c>
      <c r="B162" s="10" t="s">
        <v>460</v>
      </c>
      <c r="C162" s="39">
        <v>3000</v>
      </c>
      <c r="D162" s="39">
        <v>2500</v>
      </c>
      <c r="E162" s="39"/>
      <c r="F162" s="39">
        <v>1250</v>
      </c>
      <c r="G162" s="39">
        <v>1250</v>
      </c>
      <c r="H162" s="39">
        <v>1250</v>
      </c>
      <c r="I162" s="39"/>
      <c r="J162" s="174">
        <f t="shared" si="30"/>
        <v>9250</v>
      </c>
    </row>
    <row r="163" spans="1:10">
      <c r="A163" s="10" t="s">
        <v>452</v>
      </c>
      <c r="B163" s="10" t="s">
        <v>453</v>
      </c>
      <c r="C163" s="39"/>
      <c r="D163" s="39"/>
      <c r="E163" s="39"/>
      <c r="F163" s="39"/>
      <c r="G163" s="39"/>
      <c r="H163" s="39"/>
      <c r="I163" s="39"/>
      <c r="J163" s="174">
        <f t="shared" si="30"/>
        <v>0</v>
      </c>
    </row>
    <row r="164" spans="1:10">
      <c r="A164" s="10" t="s">
        <v>76</v>
      </c>
      <c r="B164" s="10" t="s">
        <v>155</v>
      </c>
      <c r="C164" s="39"/>
      <c r="D164" s="39"/>
      <c r="E164" s="39"/>
      <c r="F164" s="39"/>
      <c r="G164" s="39"/>
      <c r="H164" s="39"/>
      <c r="I164" s="39"/>
      <c r="J164" s="174">
        <f t="shared" si="30"/>
        <v>0</v>
      </c>
    </row>
    <row r="165" spans="1:10">
      <c r="A165" s="10" t="s">
        <v>79</v>
      </c>
      <c r="B165" s="10" t="s">
        <v>156</v>
      </c>
      <c r="C165" s="39"/>
      <c r="D165" s="39"/>
      <c r="E165" s="39"/>
      <c r="F165" s="39"/>
      <c r="G165" s="39"/>
      <c r="H165" s="39"/>
      <c r="I165" s="39"/>
      <c r="J165" s="174">
        <f t="shared" si="30"/>
        <v>0</v>
      </c>
    </row>
    <row r="166" spans="1:10">
      <c r="A166" s="10" t="s">
        <v>78</v>
      </c>
      <c r="B166" s="10" t="s">
        <v>157</v>
      </c>
      <c r="C166" s="39"/>
      <c r="D166" s="39"/>
      <c r="E166" s="39"/>
      <c r="F166" s="39"/>
      <c r="G166" s="39"/>
      <c r="H166" s="39"/>
      <c r="I166" s="39"/>
      <c r="J166" s="174">
        <f t="shared" si="30"/>
        <v>0</v>
      </c>
    </row>
    <row r="167" spans="1:10">
      <c r="A167" s="10" t="s">
        <v>77</v>
      </c>
      <c r="B167" s="10" t="s">
        <v>158</v>
      </c>
      <c r="C167" s="39"/>
      <c r="D167" s="39"/>
      <c r="E167" s="39"/>
      <c r="F167" s="39"/>
      <c r="G167" s="39"/>
      <c r="H167" s="39"/>
      <c r="I167" s="39"/>
      <c r="J167" s="174">
        <f t="shared" si="30"/>
        <v>0</v>
      </c>
    </row>
    <row r="168" spans="1:10">
      <c r="A168" s="10" t="s">
        <v>80</v>
      </c>
      <c r="B168" s="10" t="s">
        <v>159</v>
      </c>
      <c r="C168" s="39"/>
      <c r="D168" s="39"/>
      <c r="E168" s="39"/>
      <c r="F168" s="39"/>
      <c r="G168" s="39"/>
      <c r="H168" s="39"/>
      <c r="I168" s="39"/>
      <c r="J168" s="174">
        <f t="shared" si="30"/>
        <v>0</v>
      </c>
    </row>
    <row r="169" spans="1:10">
      <c r="A169" s="10" t="s">
        <v>81</v>
      </c>
      <c r="B169" s="10" t="s">
        <v>160</v>
      </c>
      <c r="C169" s="39">
        <v>100</v>
      </c>
      <c r="D169" s="39">
        <v>250</v>
      </c>
      <c r="E169" s="39">
        <v>100</v>
      </c>
      <c r="F169" s="39">
        <v>50</v>
      </c>
      <c r="G169" s="39">
        <v>50</v>
      </c>
      <c r="H169" s="39">
        <v>50</v>
      </c>
      <c r="I169" s="39"/>
      <c r="J169" s="174">
        <f t="shared" si="30"/>
        <v>600</v>
      </c>
    </row>
    <row r="170" spans="1:10">
      <c r="A170" s="10" t="s">
        <v>161</v>
      </c>
      <c r="B170" s="10" t="s">
        <v>162</v>
      </c>
      <c r="C170" s="40"/>
      <c r="D170" s="40"/>
      <c r="E170" s="40"/>
      <c r="F170" s="40"/>
      <c r="G170" s="40"/>
      <c r="H170" s="40"/>
      <c r="I170" s="39"/>
      <c r="J170" s="95">
        <f t="shared" si="30"/>
        <v>0</v>
      </c>
    </row>
    <row r="171" spans="1:10">
      <c r="B171" s="10" t="s">
        <v>163</v>
      </c>
      <c r="C171" s="39">
        <f t="shared" ref="C171:H171" si="31">SUM(C158:C170)</f>
        <v>20790</v>
      </c>
      <c r="D171" s="39">
        <f t="shared" si="31"/>
        <v>2850</v>
      </c>
      <c r="E171" s="39">
        <f t="shared" si="31"/>
        <v>6200</v>
      </c>
      <c r="F171" s="39">
        <f t="shared" si="31"/>
        <v>1800</v>
      </c>
      <c r="G171" s="39">
        <f t="shared" si="31"/>
        <v>1450</v>
      </c>
      <c r="H171" s="39">
        <f t="shared" si="31"/>
        <v>1450</v>
      </c>
      <c r="I171" s="39"/>
      <c r="J171" s="41">
        <f>SUM(J158:J170)</f>
        <v>34540</v>
      </c>
    </row>
    <row r="172" spans="1:10">
      <c r="C172" s="39"/>
      <c r="D172" s="39"/>
      <c r="E172" s="39"/>
      <c r="F172" s="39"/>
      <c r="G172" s="39"/>
      <c r="H172" s="39"/>
      <c r="I172" s="39"/>
      <c r="J172" s="41"/>
    </row>
    <row r="173" spans="1:10">
      <c r="A173" s="10" t="s">
        <v>164</v>
      </c>
      <c r="C173" s="39"/>
      <c r="D173" s="39"/>
      <c r="E173" s="39"/>
      <c r="F173" s="39"/>
      <c r="G173" s="39"/>
      <c r="H173" s="39"/>
      <c r="I173" s="39"/>
      <c r="J173" s="41"/>
    </row>
    <row r="174" spans="1:10">
      <c r="A174" s="10" t="s">
        <v>165</v>
      </c>
      <c r="C174" s="39"/>
      <c r="D174" s="39"/>
      <c r="E174" s="39"/>
      <c r="F174" s="39"/>
      <c r="G174" s="39"/>
      <c r="H174" s="39"/>
      <c r="I174" s="39"/>
      <c r="J174" s="41"/>
    </row>
    <row r="175" spans="1:10">
      <c r="A175" s="10" t="s">
        <v>86</v>
      </c>
      <c r="B175" s="10" t="s">
        <v>85</v>
      </c>
      <c r="C175" s="39"/>
      <c r="D175" s="39"/>
      <c r="E175" s="39">
        <f>1000*12+300</f>
        <v>12300</v>
      </c>
      <c r="F175" s="39"/>
      <c r="G175" s="39"/>
      <c r="H175" s="39"/>
      <c r="I175" s="39"/>
      <c r="J175" s="174">
        <f t="shared" ref="J175:J185" si="32">SUM(C175:H175)</f>
        <v>12300</v>
      </c>
    </row>
    <row r="176" spans="1:10">
      <c r="A176" s="10" t="s">
        <v>91</v>
      </c>
      <c r="B176" s="10" t="s">
        <v>92</v>
      </c>
      <c r="C176" s="39"/>
      <c r="D176" s="39"/>
      <c r="E176" s="39"/>
      <c r="F176" s="39"/>
      <c r="G176" s="39"/>
      <c r="H176" s="39"/>
      <c r="I176" s="39"/>
      <c r="J176" s="174">
        <f t="shared" si="32"/>
        <v>0</v>
      </c>
    </row>
    <row r="177" spans="1:10">
      <c r="A177" s="10" t="s">
        <v>93</v>
      </c>
      <c r="B177" s="10" t="s">
        <v>94</v>
      </c>
      <c r="C177" s="39"/>
      <c r="D177" s="39"/>
      <c r="E177" s="39"/>
      <c r="F177" s="39"/>
      <c r="G177" s="39"/>
      <c r="H177" s="39"/>
      <c r="I177" s="39"/>
      <c r="J177" s="174">
        <f t="shared" si="32"/>
        <v>0</v>
      </c>
    </row>
    <row r="178" spans="1:10">
      <c r="A178" s="10" t="s">
        <v>95</v>
      </c>
      <c r="B178" s="10" t="s">
        <v>432</v>
      </c>
      <c r="C178" s="39"/>
      <c r="D178" s="39"/>
      <c r="E178" s="39"/>
      <c r="F178" s="39"/>
      <c r="G178" s="39"/>
      <c r="H178" s="39"/>
      <c r="I178" s="39"/>
      <c r="J178" s="174">
        <f t="shared" si="32"/>
        <v>0</v>
      </c>
    </row>
    <row r="179" spans="1:10">
      <c r="A179" s="10" t="s">
        <v>96</v>
      </c>
      <c r="B179" s="10" t="s">
        <v>431</v>
      </c>
      <c r="C179" s="39"/>
      <c r="D179" s="39"/>
      <c r="E179" s="39"/>
      <c r="F179" s="39"/>
      <c r="G179" s="39"/>
      <c r="H179" s="39"/>
      <c r="I179" s="39"/>
      <c r="J179" s="174">
        <f t="shared" si="32"/>
        <v>0</v>
      </c>
    </row>
    <row r="180" spans="1:10">
      <c r="A180" s="10" t="s">
        <v>98</v>
      </c>
      <c r="B180" s="10" t="s">
        <v>99</v>
      </c>
      <c r="C180" s="39"/>
      <c r="D180" s="39"/>
      <c r="E180" s="39"/>
      <c r="F180" s="39"/>
      <c r="G180" s="39"/>
      <c r="H180" s="39"/>
      <c r="I180" s="39"/>
      <c r="J180" s="174">
        <f t="shared" si="32"/>
        <v>0</v>
      </c>
    </row>
    <row r="181" spans="1:10">
      <c r="A181" s="10" t="s">
        <v>100</v>
      </c>
      <c r="B181" s="10" t="s">
        <v>287</v>
      </c>
      <c r="C181" s="39"/>
      <c r="D181" s="39"/>
      <c r="E181" s="39"/>
      <c r="F181" s="39"/>
      <c r="G181" s="39"/>
      <c r="H181" s="39"/>
      <c r="I181" s="39"/>
      <c r="J181" s="174">
        <f t="shared" si="32"/>
        <v>0</v>
      </c>
    </row>
    <row r="182" spans="1:10">
      <c r="A182" s="10" t="s">
        <v>101</v>
      </c>
      <c r="B182" s="10" t="s">
        <v>102</v>
      </c>
      <c r="C182" s="39">
        <v>1000</v>
      </c>
      <c r="D182" s="39"/>
      <c r="E182" s="39"/>
      <c r="F182" s="39"/>
      <c r="G182" s="39"/>
      <c r="H182" s="39"/>
      <c r="I182" s="39"/>
      <c r="J182" s="174">
        <f t="shared" si="32"/>
        <v>1000</v>
      </c>
    </row>
    <row r="183" spans="1:10">
      <c r="A183" s="10" t="s">
        <v>105</v>
      </c>
      <c r="B183" s="10" t="s">
        <v>167</v>
      </c>
      <c r="C183" s="39"/>
      <c r="D183" s="39"/>
      <c r="E183" s="39"/>
      <c r="F183" s="39"/>
      <c r="G183" s="39"/>
      <c r="H183" s="39"/>
      <c r="I183" s="39"/>
      <c r="J183" s="174">
        <f t="shared" si="32"/>
        <v>0</v>
      </c>
    </row>
    <row r="184" spans="1:10">
      <c r="A184" s="10" t="s">
        <v>106</v>
      </c>
      <c r="B184" s="10" t="s">
        <v>107</v>
      </c>
      <c r="C184" s="39"/>
      <c r="D184" s="39"/>
      <c r="E184" s="39"/>
      <c r="F184" s="39"/>
      <c r="G184" s="39"/>
      <c r="H184" s="39"/>
      <c r="I184" s="39"/>
      <c r="J184" s="174">
        <f t="shared" si="32"/>
        <v>0</v>
      </c>
    </row>
    <row r="185" spans="1:10">
      <c r="A185" s="10" t="s">
        <v>845</v>
      </c>
      <c r="B185" s="10" t="s">
        <v>466</v>
      </c>
      <c r="C185" s="40"/>
      <c r="D185" s="40"/>
      <c r="E185" s="40"/>
      <c r="F185" s="40"/>
      <c r="G185" s="40"/>
      <c r="H185" s="40"/>
      <c r="I185" s="39"/>
      <c r="J185" s="95">
        <f t="shared" si="32"/>
        <v>0</v>
      </c>
    </row>
    <row r="186" spans="1:10">
      <c r="B186" s="10" t="s">
        <v>168</v>
      </c>
      <c r="C186" s="39">
        <f t="shared" ref="C186:H186" si="33">SUM(C175:C185)</f>
        <v>1000</v>
      </c>
      <c r="D186" s="39">
        <f t="shared" si="33"/>
        <v>0</v>
      </c>
      <c r="E186" s="39">
        <f t="shared" si="33"/>
        <v>12300</v>
      </c>
      <c r="F186" s="39">
        <f t="shared" si="33"/>
        <v>0</v>
      </c>
      <c r="G186" s="39">
        <f t="shared" si="33"/>
        <v>0</v>
      </c>
      <c r="H186" s="39">
        <f t="shared" si="33"/>
        <v>0</v>
      </c>
      <c r="I186" s="39"/>
      <c r="J186" s="41">
        <f>SUM(J175:J185)</f>
        <v>13300</v>
      </c>
    </row>
    <row r="187" spans="1:10">
      <c r="C187" s="39"/>
      <c r="D187" s="39"/>
      <c r="E187" s="39"/>
      <c r="F187" s="39"/>
      <c r="G187" s="39"/>
      <c r="H187" s="39"/>
      <c r="I187" s="39"/>
      <c r="J187" s="41"/>
    </row>
    <row r="188" spans="1:10">
      <c r="C188" s="39"/>
      <c r="D188" s="39"/>
      <c r="E188" s="39"/>
      <c r="F188" s="39"/>
      <c r="G188" s="39"/>
      <c r="H188" s="39"/>
      <c r="I188" s="39"/>
      <c r="J188" s="41"/>
    </row>
    <row r="189" spans="1:10" s="4" customFormat="1" ht="10.5">
      <c r="A189" s="14"/>
      <c r="B189" s="14" t="s">
        <v>169</v>
      </c>
      <c r="C189" s="41">
        <f t="shared" ref="C189:H189" si="34">+C122+C133+C141+C150+C155+C171+C186</f>
        <v>28536</v>
      </c>
      <c r="D189" s="41">
        <f t="shared" si="34"/>
        <v>19110</v>
      </c>
      <c r="E189" s="41">
        <f t="shared" si="34"/>
        <v>53580</v>
      </c>
      <c r="F189" s="41">
        <f t="shared" si="34"/>
        <v>4080</v>
      </c>
      <c r="G189" s="41">
        <f t="shared" si="34"/>
        <v>2550</v>
      </c>
      <c r="H189" s="41">
        <f t="shared" si="34"/>
        <v>2550</v>
      </c>
      <c r="I189" s="41"/>
      <c r="J189" s="41">
        <f>+J122+J133+J141+J150+J155+J171+J186</f>
        <v>110406</v>
      </c>
    </row>
    <row r="190" spans="1:10">
      <c r="C190" s="39"/>
      <c r="D190" s="39"/>
      <c r="E190" s="39"/>
      <c r="F190" s="39"/>
      <c r="G190" s="39"/>
      <c r="H190" s="39"/>
      <c r="I190" s="39"/>
      <c r="J190" s="41"/>
    </row>
    <row r="191" spans="1:10">
      <c r="C191" s="41">
        <f>SUM(C104+C189)</f>
        <v>117503.72242640001</v>
      </c>
      <c r="D191" s="41">
        <f t="shared" ref="D191:J191" si="35">SUM(D104+D189)</f>
        <v>102480.14597814843</v>
      </c>
      <c r="E191" s="41">
        <f t="shared" si="35"/>
        <v>133407.76409000001</v>
      </c>
      <c r="F191" s="41">
        <f t="shared" si="35"/>
        <v>56635.135862170675</v>
      </c>
      <c r="G191" s="41">
        <f t="shared" si="35"/>
        <v>38080.635200000004</v>
      </c>
      <c r="H191" s="41">
        <f t="shared" si="35"/>
        <v>40702.933830000002</v>
      </c>
      <c r="I191" s="39"/>
      <c r="J191" s="41">
        <f t="shared" si="35"/>
        <v>488810.33738671907</v>
      </c>
    </row>
    <row r="192" spans="1:10">
      <c r="C192" s="39"/>
      <c r="D192" s="39"/>
      <c r="E192" s="39"/>
      <c r="F192" s="39"/>
      <c r="G192" s="39"/>
      <c r="H192" s="39"/>
      <c r="I192" s="39"/>
      <c r="J192" s="41"/>
    </row>
    <row r="193" spans="1:10" s="4" customFormat="1" ht="10.5">
      <c r="A193" s="14">
        <f>+SUM(C193:H193)</f>
        <v>-483410.33738671913</v>
      </c>
      <c r="B193" s="14" t="s">
        <v>170</v>
      </c>
      <c r="C193" s="41">
        <f t="shared" ref="C193:H193" si="36">SUM(C68-C104-C189)</f>
        <v>-117503.72242640001</v>
      </c>
      <c r="D193" s="41">
        <f t="shared" si="36"/>
        <v>-102480.14597814843</v>
      </c>
      <c r="E193" s="41">
        <f t="shared" si="36"/>
        <v>-128007.76409000001</v>
      </c>
      <c r="F193" s="41">
        <f t="shared" si="36"/>
        <v>-56635.135862170675</v>
      </c>
      <c r="G193" s="41">
        <f t="shared" si="36"/>
        <v>-38080.635200000004</v>
      </c>
      <c r="H193" s="41">
        <f t="shared" si="36"/>
        <v>-40702.933830000002</v>
      </c>
      <c r="I193" s="41"/>
      <c r="J193" s="41">
        <f>SUM(J68-J104-J189)</f>
        <v>-483410.33738671907</v>
      </c>
    </row>
  </sheetData>
  <phoneticPr fontId="0" type="noConversion"/>
  <pageMargins left="0.18" right="0.17" top="1.34" bottom="0.43" header="0.17" footer="0.17"/>
  <pageSetup orientation="portrait" r:id="rId1"/>
  <headerFooter alignWithMargins="0">
    <oddHeader>&amp;C&amp;"MS Sans Serif,Bold"&amp;18ISL
BUDGET '12-2013
BUSINESS OFFICE
&amp;A</oddHeader>
    <oddFooter>&amp;L&amp;6&amp;Z&amp;F&amp;R&amp;P of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5:I191"/>
  <sheetViews>
    <sheetView topLeftCell="A4" workbookViewId="0">
      <pane xSplit="2" ySplit="7" topLeftCell="C29" activePane="bottomRight" state="frozen"/>
      <selection activeCell="A4" sqref="A4"/>
      <selection pane="topRight" activeCell="C4" sqref="C4"/>
      <selection pane="bottomLeft" activeCell="A11" sqref="A11"/>
      <selection pane="bottomRight" activeCell="E71" sqref="E71"/>
    </sheetView>
  </sheetViews>
  <sheetFormatPr defaultColWidth="11.42578125" defaultRowHeight="11.25"/>
  <cols>
    <col min="1" max="1" width="16.42578125" style="10" customWidth="1"/>
    <col min="2" max="2" width="26.85546875" style="10" customWidth="1"/>
    <col min="3" max="6" width="11.42578125" style="1"/>
    <col min="7" max="7" width="3" style="1" customWidth="1"/>
    <col min="8" max="8" width="11.42578125" style="39"/>
    <col min="9" max="16384" width="11.42578125" style="1"/>
  </cols>
  <sheetData>
    <row r="5" spans="1:8">
      <c r="B5" s="11"/>
      <c r="C5" s="1" t="s">
        <v>436</v>
      </c>
      <c r="D5" s="1" t="s">
        <v>434</v>
      </c>
      <c r="E5" s="1" t="s">
        <v>435</v>
      </c>
      <c r="F5" s="1" t="s">
        <v>447</v>
      </c>
    </row>
    <row r="7" spans="1:8" s="8" customFormat="1">
      <c r="A7" s="12"/>
      <c r="B7" s="17" t="s">
        <v>371</v>
      </c>
      <c r="C7" s="62">
        <v>1</v>
      </c>
      <c r="D7" s="62">
        <v>4</v>
      </c>
      <c r="E7" s="62">
        <v>2</v>
      </c>
      <c r="F7" s="62">
        <v>2</v>
      </c>
      <c r="H7" s="72"/>
    </row>
    <row r="9" spans="1:8">
      <c r="C9" s="1" t="s">
        <v>191</v>
      </c>
      <c r="D9" s="1" t="s">
        <v>191</v>
      </c>
      <c r="E9" s="1" t="s">
        <v>191</v>
      </c>
      <c r="F9" s="1" t="s">
        <v>191</v>
      </c>
    </row>
    <row r="10" spans="1:8" s="7" customFormat="1">
      <c r="A10" s="13"/>
      <c r="B10" s="13" t="s">
        <v>174</v>
      </c>
      <c r="C10" s="7">
        <v>3100</v>
      </c>
      <c r="D10" s="7">
        <v>3100</v>
      </c>
      <c r="E10" s="7">
        <v>3100</v>
      </c>
      <c r="F10" s="7">
        <v>3100</v>
      </c>
      <c r="H10" s="173"/>
    </row>
    <row r="11" spans="1:8">
      <c r="A11" s="10" t="s">
        <v>271</v>
      </c>
    </row>
    <row r="12" spans="1:8">
      <c r="A12" s="10" t="s">
        <v>272</v>
      </c>
    </row>
    <row r="13" spans="1:8">
      <c r="A13" s="10" t="s">
        <v>171</v>
      </c>
      <c r="B13" s="10" t="s">
        <v>273</v>
      </c>
      <c r="C13" s="39"/>
      <c r="D13" s="39"/>
      <c r="E13" s="39"/>
      <c r="F13" s="39"/>
      <c r="G13" s="39"/>
      <c r="H13" s="39">
        <f t="shared" ref="H13:H38" si="0">+SUM(C13:G13)</f>
        <v>0</v>
      </c>
    </row>
    <row r="14" spans="1:8">
      <c r="A14" s="10" t="s">
        <v>172</v>
      </c>
      <c r="B14" s="10" t="s">
        <v>274</v>
      </c>
      <c r="C14" s="39"/>
      <c r="D14" s="39"/>
      <c r="E14" s="39"/>
      <c r="F14" s="39"/>
      <c r="G14" s="39"/>
      <c r="H14" s="39">
        <f t="shared" si="0"/>
        <v>0</v>
      </c>
    </row>
    <row r="15" spans="1:8">
      <c r="A15" s="10" t="s">
        <v>173</v>
      </c>
      <c r="B15" s="10" t="s">
        <v>275</v>
      </c>
      <c r="C15" s="39"/>
      <c r="D15" s="39"/>
      <c r="E15" s="39"/>
      <c r="F15" s="39"/>
      <c r="G15" s="39"/>
      <c r="H15" s="39">
        <f t="shared" si="0"/>
        <v>0</v>
      </c>
    </row>
    <row r="16" spans="1:8">
      <c r="A16" s="10" t="s">
        <v>194</v>
      </c>
      <c r="B16" s="10" t="s">
        <v>276</v>
      </c>
      <c r="C16" s="39"/>
      <c r="D16" s="39">
        <f ca="1">100000/625*SUM!B5</f>
        <v>101600</v>
      </c>
      <c r="E16" s="39">
        <f ca="1">100000/625*SUM!B6</f>
        <v>28640</v>
      </c>
      <c r="F16" s="39">
        <f ca="1">100000/625*SUM!B7</f>
        <v>49440</v>
      </c>
      <c r="G16" s="39"/>
      <c r="H16" s="39">
        <f t="shared" si="0"/>
        <v>179680</v>
      </c>
    </row>
    <row r="17" spans="1:8">
      <c r="A17" s="10" t="s">
        <v>195</v>
      </c>
      <c r="B17" s="10" t="s">
        <v>277</v>
      </c>
      <c r="C17" s="39"/>
      <c r="D17" s="39"/>
      <c r="E17" s="39"/>
      <c r="F17" s="39"/>
      <c r="G17" s="39"/>
      <c r="H17" s="39">
        <f t="shared" si="0"/>
        <v>0</v>
      </c>
    </row>
    <row r="18" spans="1:8">
      <c r="A18" s="10" t="s">
        <v>196</v>
      </c>
      <c r="B18" s="10" t="s">
        <v>278</v>
      </c>
      <c r="C18" s="39"/>
      <c r="D18" s="39"/>
      <c r="E18" s="39"/>
      <c r="F18" s="39"/>
      <c r="G18" s="39"/>
      <c r="H18" s="39">
        <f t="shared" si="0"/>
        <v>0</v>
      </c>
    </row>
    <row r="19" spans="1:8">
      <c r="A19" s="10" t="s">
        <v>197</v>
      </c>
      <c r="B19" s="10" t="s">
        <v>279</v>
      </c>
      <c r="C19" s="39"/>
      <c r="D19" s="39"/>
      <c r="E19" s="39"/>
      <c r="F19" s="39"/>
      <c r="G19" s="39"/>
      <c r="H19" s="39">
        <f t="shared" si="0"/>
        <v>0</v>
      </c>
    </row>
    <row r="20" spans="1:8">
      <c r="A20" s="10" t="s">
        <v>198</v>
      </c>
      <c r="B20" s="10" t="s">
        <v>280</v>
      </c>
      <c r="C20" s="39"/>
      <c r="D20" s="39"/>
      <c r="E20" s="39"/>
      <c r="F20" s="39"/>
      <c r="G20" s="39"/>
      <c r="H20" s="39">
        <f t="shared" si="0"/>
        <v>0</v>
      </c>
    </row>
    <row r="21" spans="1:8">
      <c r="A21" s="10" t="s">
        <v>199</v>
      </c>
      <c r="B21" s="10" t="s">
        <v>281</v>
      </c>
      <c r="C21" s="39"/>
      <c r="D21" s="39"/>
      <c r="E21" s="39"/>
      <c r="F21" s="39"/>
      <c r="G21" s="39"/>
      <c r="H21" s="39">
        <f t="shared" si="0"/>
        <v>0</v>
      </c>
    </row>
    <row r="22" spans="1:8">
      <c r="A22" s="10" t="s">
        <v>200</v>
      </c>
      <c r="B22" s="10" t="s">
        <v>282</v>
      </c>
      <c r="C22" s="39"/>
      <c r="D22" s="39"/>
      <c r="E22" s="39"/>
      <c r="F22" s="39"/>
      <c r="G22" s="39"/>
      <c r="H22" s="39">
        <f t="shared" si="0"/>
        <v>0</v>
      </c>
    </row>
    <row r="23" spans="1:8">
      <c r="A23" s="10" t="s">
        <v>201</v>
      </c>
      <c r="B23" s="10" t="s">
        <v>283</v>
      </c>
      <c r="C23" s="39"/>
      <c r="D23" s="39"/>
      <c r="E23" s="39"/>
      <c r="F23" s="39"/>
      <c r="G23" s="39"/>
      <c r="H23" s="39">
        <f t="shared" si="0"/>
        <v>0</v>
      </c>
    </row>
    <row r="24" spans="1:8">
      <c r="A24" s="10" t="s">
        <v>202</v>
      </c>
      <c r="B24" s="10" t="s">
        <v>284</v>
      </c>
      <c r="C24" s="39"/>
      <c r="D24" s="39"/>
      <c r="E24" s="39"/>
      <c r="F24" s="39"/>
      <c r="G24" s="39"/>
      <c r="H24" s="39">
        <f t="shared" si="0"/>
        <v>0</v>
      </c>
    </row>
    <row r="25" spans="1:8">
      <c r="A25" s="10" t="s">
        <v>203</v>
      </c>
      <c r="B25" s="10" t="s">
        <v>285</v>
      </c>
      <c r="C25" s="39"/>
      <c r="D25" s="39"/>
      <c r="E25" s="39"/>
      <c r="F25" s="39"/>
      <c r="G25" s="39"/>
      <c r="H25" s="39">
        <f t="shared" si="0"/>
        <v>0</v>
      </c>
    </row>
    <row r="26" spans="1:8">
      <c r="A26" s="10" t="s">
        <v>204</v>
      </c>
      <c r="B26" s="10" t="s">
        <v>286</v>
      </c>
      <c r="C26" s="39"/>
      <c r="D26" s="39"/>
      <c r="E26" s="39"/>
      <c r="F26" s="39"/>
      <c r="G26" s="39"/>
      <c r="H26" s="39">
        <f t="shared" si="0"/>
        <v>0</v>
      </c>
    </row>
    <row r="27" spans="1:8">
      <c r="A27" s="10" t="s">
        <v>205</v>
      </c>
      <c r="B27" s="10" t="s">
        <v>287</v>
      </c>
      <c r="C27" s="39"/>
      <c r="D27" s="39"/>
      <c r="E27" s="39"/>
      <c r="F27" s="39"/>
      <c r="G27" s="39"/>
      <c r="H27" s="39">
        <f t="shared" si="0"/>
        <v>0</v>
      </c>
    </row>
    <row r="28" spans="1:8">
      <c r="A28" s="10" t="s">
        <v>206</v>
      </c>
      <c r="B28" s="10" t="s">
        <v>288</v>
      </c>
      <c r="C28" s="39"/>
      <c r="D28" s="39"/>
      <c r="E28" s="39"/>
      <c r="F28" s="39"/>
      <c r="G28" s="39"/>
      <c r="H28" s="39">
        <f t="shared" si="0"/>
        <v>0</v>
      </c>
    </row>
    <row r="29" spans="1:8">
      <c r="A29" s="10" t="s">
        <v>207</v>
      </c>
      <c r="B29" s="10" t="s">
        <v>289</v>
      </c>
      <c r="C29" s="39"/>
      <c r="D29" s="39"/>
      <c r="E29" s="39"/>
      <c r="F29" s="39"/>
      <c r="G29" s="39"/>
      <c r="H29" s="39">
        <f t="shared" si="0"/>
        <v>0</v>
      </c>
    </row>
    <row r="30" spans="1:8">
      <c r="A30" s="10" t="s">
        <v>209</v>
      </c>
      <c r="B30" s="10" t="s">
        <v>290</v>
      </c>
      <c r="C30" s="39"/>
      <c r="D30" s="39"/>
      <c r="E30" s="39"/>
      <c r="F30" s="39"/>
      <c r="G30" s="39"/>
      <c r="H30" s="39">
        <f t="shared" si="0"/>
        <v>0</v>
      </c>
    </row>
    <row r="31" spans="1:8">
      <c r="A31" s="10" t="s">
        <v>208</v>
      </c>
      <c r="B31" s="10" t="s">
        <v>291</v>
      </c>
      <c r="C31" s="39"/>
      <c r="D31" s="39"/>
      <c r="E31" s="39"/>
      <c r="F31" s="39"/>
      <c r="G31" s="39"/>
      <c r="H31" s="39">
        <f t="shared" si="0"/>
        <v>0</v>
      </c>
    </row>
    <row r="32" spans="1:8">
      <c r="A32" s="10" t="s">
        <v>210</v>
      </c>
      <c r="B32" s="10" t="s">
        <v>211</v>
      </c>
      <c r="C32" s="39"/>
      <c r="D32" s="39"/>
      <c r="E32" s="39"/>
      <c r="F32" s="39"/>
      <c r="G32" s="39"/>
      <c r="H32" s="39">
        <f t="shared" si="0"/>
        <v>0</v>
      </c>
    </row>
    <row r="33" spans="1:8">
      <c r="A33" s="10" t="s">
        <v>214</v>
      </c>
      <c r="B33" s="10" t="s">
        <v>215</v>
      </c>
      <c r="C33" s="39"/>
      <c r="D33" s="39"/>
      <c r="E33" s="39"/>
      <c r="F33" s="39"/>
      <c r="G33" s="39"/>
      <c r="H33" s="39">
        <f t="shared" si="0"/>
        <v>0</v>
      </c>
    </row>
    <row r="34" spans="1:8">
      <c r="A34" s="10" t="s">
        <v>213</v>
      </c>
      <c r="B34" s="10" t="s">
        <v>292</v>
      </c>
      <c r="C34" s="39"/>
      <c r="D34" s="39"/>
      <c r="E34" s="39"/>
      <c r="F34" s="39"/>
      <c r="G34" s="39"/>
      <c r="H34" s="39">
        <f t="shared" si="0"/>
        <v>0</v>
      </c>
    </row>
    <row r="35" spans="1:8">
      <c r="A35" s="10" t="s">
        <v>212</v>
      </c>
      <c r="B35" s="10" t="s">
        <v>293</v>
      </c>
      <c r="C35" s="39"/>
      <c r="D35" s="39"/>
      <c r="E35" s="39"/>
      <c r="F35" s="39"/>
      <c r="G35" s="39"/>
      <c r="H35" s="39">
        <f t="shared" si="0"/>
        <v>0</v>
      </c>
    </row>
    <row r="36" spans="1:8">
      <c r="A36" s="10" t="s">
        <v>216</v>
      </c>
      <c r="B36" s="10" t="s">
        <v>294</v>
      </c>
      <c r="C36" s="39"/>
      <c r="D36" s="39"/>
      <c r="E36" s="39"/>
      <c r="F36" s="39"/>
      <c r="G36" s="39"/>
      <c r="H36" s="39">
        <f t="shared" si="0"/>
        <v>0</v>
      </c>
    </row>
    <row r="37" spans="1:8">
      <c r="A37" s="10" t="s">
        <v>217</v>
      </c>
      <c r="B37" s="10" t="s">
        <v>295</v>
      </c>
      <c r="C37" s="40"/>
      <c r="D37" s="40"/>
      <c r="E37" s="40"/>
      <c r="F37" s="40"/>
      <c r="G37" s="39"/>
      <c r="H37" s="40">
        <f t="shared" si="0"/>
        <v>0</v>
      </c>
    </row>
    <row r="38" spans="1:8">
      <c r="B38" s="10" t="s">
        <v>296</v>
      </c>
      <c r="C38" s="39">
        <f>+SUM(C13:C37)</f>
        <v>0</v>
      </c>
      <c r="D38" s="39">
        <f>+SUM(D13:D37)</f>
        <v>101600</v>
      </c>
      <c r="E38" s="39">
        <f>+SUM(E13:E37)</f>
        <v>28640</v>
      </c>
      <c r="F38" s="39">
        <f>+SUM(F13:F37)</f>
        <v>49440</v>
      </c>
      <c r="G38" s="39"/>
      <c r="H38" s="39">
        <f t="shared" si="0"/>
        <v>179680</v>
      </c>
    </row>
    <row r="39" spans="1:8">
      <c r="C39" s="39"/>
      <c r="D39" s="39"/>
      <c r="E39" s="39"/>
      <c r="F39" s="39"/>
      <c r="G39" s="39"/>
    </row>
    <row r="40" spans="1:8">
      <c r="A40" s="10" t="s">
        <v>297</v>
      </c>
      <c r="C40" s="39"/>
      <c r="D40" s="39"/>
      <c r="E40" s="39"/>
      <c r="F40" s="39"/>
      <c r="G40" s="39"/>
    </row>
    <row r="41" spans="1:8">
      <c r="A41" s="10" t="s">
        <v>218</v>
      </c>
      <c r="B41" s="10" t="s">
        <v>298</v>
      </c>
      <c r="C41" s="39"/>
      <c r="D41" s="39"/>
      <c r="E41" s="39"/>
      <c r="F41" s="39"/>
      <c r="G41" s="39"/>
      <c r="H41" s="39">
        <f t="shared" ref="H41:H49" si="1">+SUM(C41:G41)</f>
        <v>0</v>
      </c>
    </row>
    <row r="42" spans="1:8">
      <c r="A42" s="10" t="s">
        <v>219</v>
      </c>
      <c r="B42" s="10" t="s">
        <v>220</v>
      </c>
      <c r="C42" s="39"/>
      <c r="D42" s="39"/>
      <c r="E42" s="39"/>
      <c r="F42" s="39"/>
      <c r="G42" s="39"/>
      <c r="H42" s="39">
        <f t="shared" si="1"/>
        <v>0</v>
      </c>
    </row>
    <row r="43" spans="1:8">
      <c r="A43" s="10" t="s">
        <v>221</v>
      </c>
      <c r="B43" s="10" t="s">
        <v>222</v>
      </c>
      <c r="C43" s="39"/>
      <c r="D43" s="39"/>
      <c r="E43" s="39"/>
      <c r="F43" s="39"/>
      <c r="G43" s="39"/>
      <c r="H43" s="39">
        <f t="shared" si="1"/>
        <v>0</v>
      </c>
    </row>
    <row r="44" spans="1:8">
      <c r="A44" s="10" t="s">
        <v>223</v>
      </c>
      <c r="B44" s="10" t="s">
        <v>299</v>
      </c>
      <c r="C44" s="39"/>
      <c r="D44" s="39"/>
      <c r="E44" s="39"/>
      <c r="F44" s="39"/>
      <c r="G44" s="39"/>
      <c r="H44" s="39">
        <f t="shared" si="1"/>
        <v>0</v>
      </c>
    </row>
    <row r="45" spans="1:8">
      <c r="A45" s="10" t="s">
        <v>224</v>
      </c>
      <c r="B45" s="10" t="s">
        <v>225</v>
      </c>
      <c r="C45" s="39"/>
      <c r="D45" s="39"/>
      <c r="E45" s="39"/>
      <c r="F45" s="39"/>
      <c r="G45" s="39"/>
      <c r="H45" s="39">
        <f t="shared" si="1"/>
        <v>0</v>
      </c>
    </row>
    <row r="46" spans="1:8">
      <c r="A46" s="10" t="s">
        <v>226</v>
      </c>
      <c r="B46" s="10" t="s">
        <v>227</v>
      </c>
      <c r="C46" s="39"/>
      <c r="D46" s="39"/>
      <c r="E46" s="39"/>
      <c r="F46" s="39"/>
      <c r="G46" s="39"/>
      <c r="H46" s="39">
        <f t="shared" si="1"/>
        <v>0</v>
      </c>
    </row>
    <row r="47" spans="1:8">
      <c r="A47" s="10" t="s">
        <v>228</v>
      </c>
      <c r="B47" s="10" t="s">
        <v>300</v>
      </c>
      <c r="C47" s="39"/>
      <c r="D47" s="39"/>
      <c r="E47" s="39"/>
      <c r="F47" s="39"/>
      <c r="G47" s="39"/>
      <c r="H47" s="39">
        <f t="shared" si="1"/>
        <v>0</v>
      </c>
    </row>
    <row r="48" spans="1:8">
      <c r="A48" s="10" t="s">
        <v>229</v>
      </c>
      <c r="B48" s="10" t="s">
        <v>301</v>
      </c>
      <c r="C48" s="40"/>
      <c r="D48" s="40"/>
      <c r="E48" s="40"/>
      <c r="F48" s="40"/>
      <c r="G48" s="39"/>
      <c r="H48" s="40">
        <f t="shared" si="1"/>
        <v>0</v>
      </c>
    </row>
    <row r="49" spans="1:8">
      <c r="B49" s="10" t="s">
        <v>302</v>
      </c>
      <c r="C49" s="39">
        <f>+SUM(C41:C48)</f>
        <v>0</v>
      </c>
      <c r="D49" s="39">
        <f>+SUM(D41:D48)</f>
        <v>0</v>
      </c>
      <c r="E49" s="39">
        <f>+SUM(E41:E48)</f>
        <v>0</v>
      </c>
      <c r="F49" s="39">
        <f>+SUM(F41:F48)</f>
        <v>0</v>
      </c>
      <c r="G49" s="39"/>
      <c r="H49" s="39">
        <f t="shared" si="1"/>
        <v>0</v>
      </c>
    </row>
    <row r="50" spans="1:8">
      <c r="C50" s="39"/>
      <c r="D50" s="39"/>
      <c r="E50" s="39"/>
      <c r="F50" s="39"/>
      <c r="G50" s="39"/>
    </row>
    <row r="51" spans="1:8">
      <c r="A51" s="10" t="s">
        <v>303</v>
      </c>
      <c r="C51" s="39"/>
      <c r="D51" s="39"/>
      <c r="E51" s="39"/>
      <c r="F51" s="39"/>
      <c r="G51" s="39"/>
    </row>
    <row r="52" spans="1:8">
      <c r="A52" s="10" t="s">
        <v>304</v>
      </c>
      <c r="C52" s="39"/>
      <c r="D52" s="39"/>
      <c r="E52" s="39"/>
      <c r="F52" s="39"/>
      <c r="G52" s="39"/>
    </row>
    <row r="53" spans="1:8">
      <c r="A53" s="10" t="s">
        <v>230</v>
      </c>
      <c r="B53" s="10" t="s">
        <v>407</v>
      </c>
      <c r="C53" s="39"/>
      <c r="D53" s="39"/>
      <c r="E53" s="39"/>
      <c r="F53" s="39"/>
      <c r="G53" s="39"/>
      <c r="H53" s="39">
        <f t="shared" ref="H53:H66" si="2">+SUM(C53:G53)</f>
        <v>0</v>
      </c>
    </row>
    <row r="54" spans="1:8">
      <c r="A54" s="10" t="s">
        <v>231</v>
      </c>
      <c r="B54" s="10" t="s">
        <v>408</v>
      </c>
      <c r="C54" s="39"/>
      <c r="D54" s="39"/>
      <c r="E54" s="39"/>
      <c r="F54" s="39"/>
      <c r="G54" s="39"/>
      <c r="H54" s="39">
        <f t="shared" si="2"/>
        <v>0</v>
      </c>
    </row>
    <row r="55" spans="1:8">
      <c r="A55" s="10" t="s">
        <v>232</v>
      </c>
      <c r="B55" s="10" t="s">
        <v>409</v>
      </c>
      <c r="C55" s="39"/>
      <c r="D55" s="39"/>
      <c r="E55" s="39"/>
      <c r="F55" s="39"/>
      <c r="G55" s="39"/>
      <c r="H55" s="39">
        <f t="shared" si="2"/>
        <v>0</v>
      </c>
    </row>
    <row r="56" spans="1:8">
      <c r="A56" s="10" t="s">
        <v>233</v>
      </c>
      <c r="B56" s="10" t="s">
        <v>305</v>
      </c>
      <c r="C56" s="39"/>
      <c r="D56" s="39"/>
      <c r="E56" s="39"/>
      <c r="F56" s="39"/>
      <c r="G56" s="39"/>
      <c r="H56" s="39">
        <f t="shared" si="2"/>
        <v>0</v>
      </c>
    </row>
    <row r="57" spans="1:8">
      <c r="A57" s="10" t="s">
        <v>234</v>
      </c>
      <c r="B57" s="10" t="s">
        <v>306</v>
      </c>
      <c r="C57" s="39"/>
      <c r="D57" s="39">
        <f ca="1">203000/625*SUM!B5</f>
        <v>206248</v>
      </c>
      <c r="E57" s="39">
        <f ca="1">203000/625*SUM!B6</f>
        <v>58139.200000000004</v>
      </c>
      <c r="F57" s="39">
        <f ca="1">203000/625*SUM!B7</f>
        <v>100363.2</v>
      </c>
      <c r="G57" s="39"/>
      <c r="H57" s="39">
        <f t="shared" si="2"/>
        <v>364750.4</v>
      </c>
    </row>
    <row r="58" spans="1:8">
      <c r="A58" s="10" t="s">
        <v>0</v>
      </c>
      <c r="B58" s="10" t="s">
        <v>307</v>
      </c>
      <c r="C58" s="39"/>
      <c r="D58" s="39"/>
      <c r="E58" s="39"/>
      <c r="F58" s="39"/>
      <c r="G58" s="39"/>
      <c r="H58" s="39">
        <f t="shared" si="2"/>
        <v>0</v>
      </c>
    </row>
    <row r="59" spans="1:8">
      <c r="A59" s="10" t="s">
        <v>1</v>
      </c>
      <c r="B59" s="10" t="s">
        <v>308</v>
      </c>
      <c r="C59" s="39"/>
      <c r="D59" s="39"/>
      <c r="E59" s="39"/>
      <c r="F59" s="39"/>
      <c r="G59" s="39"/>
      <c r="H59" s="39">
        <f t="shared" si="2"/>
        <v>0</v>
      </c>
    </row>
    <row r="60" spans="1:8">
      <c r="A60" s="10" t="s">
        <v>3</v>
      </c>
      <c r="B60" s="10" t="s">
        <v>2</v>
      </c>
      <c r="C60" s="39"/>
      <c r="D60" s="39"/>
      <c r="E60" s="39"/>
      <c r="F60" s="39"/>
      <c r="G60" s="39"/>
      <c r="H60" s="39">
        <f t="shared" si="2"/>
        <v>0</v>
      </c>
    </row>
    <row r="61" spans="1:8">
      <c r="A61" s="10" t="s">
        <v>4</v>
      </c>
      <c r="B61" s="10" t="s">
        <v>5</v>
      </c>
      <c r="C61" s="39"/>
      <c r="D61" s="39"/>
      <c r="E61" s="39"/>
      <c r="F61" s="39"/>
      <c r="G61" s="39"/>
      <c r="H61" s="39">
        <f t="shared" si="2"/>
        <v>0</v>
      </c>
    </row>
    <row r="62" spans="1:8">
      <c r="A62" s="10" t="s">
        <v>6</v>
      </c>
      <c r="B62" s="10" t="s">
        <v>7</v>
      </c>
      <c r="C62" s="39"/>
      <c r="D62" s="39"/>
      <c r="E62" s="39"/>
      <c r="F62" s="39"/>
      <c r="G62" s="39"/>
      <c r="H62" s="39">
        <f t="shared" si="2"/>
        <v>0</v>
      </c>
    </row>
    <row r="63" spans="1:8">
      <c r="A63" s="10" t="s">
        <v>8</v>
      </c>
      <c r="B63" s="10" t="s">
        <v>9</v>
      </c>
      <c r="C63" s="39"/>
      <c r="D63" s="39"/>
      <c r="E63" s="39"/>
      <c r="F63" s="39"/>
      <c r="G63" s="39"/>
      <c r="H63" s="39">
        <f t="shared" si="2"/>
        <v>0</v>
      </c>
    </row>
    <row r="64" spans="1:8">
      <c r="A64" s="10" t="s">
        <v>11</v>
      </c>
      <c r="B64" s="10" t="s">
        <v>310</v>
      </c>
      <c r="C64" s="39"/>
      <c r="D64" s="39"/>
      <c r="E64" s="39"/>
      <c r="F64" s="39"/>
      <c r="G64" s="39"/>
      <c r="H64" s="39">
        <f t="shared" si="2"/>
        <v>0</v>
      </c>
    </row>
    <row r="65" spans="1:8">
      <c r="A65" s="10" t="s">
        <v>10</v>
      </c>
      <c r="B65" s="10" t="s">
        <v>309</v>
      </c>
      <c r="C65" s="40"/>
      <c r="D65" s="40"/>
      <c r="E65" s="40"/>
      <c r="F65" s="40"/>
      <c r="G65" s="39"/>
      <c r="H65" s="40">
        <f t="shared" si="2"/>
        <v>0</v>
      </c>
    </row>
    <row r="66" spans="1:8">
      <c r="B66" s="10" t="s">
        <v>311</v>
      </c>
      <c r="C66" s="39">
        <f>+SUM(C53:C65)</f>
        <v>0</v>
      </c>
      <c r="D66" s="39">
        <f>+SUM(D53:D65)</f>
        <v>206248</v>
      </c>
      <c r="E66" s="39">
        <f>+SUM(E53:E65)</f>
        <v>58139.200000000004</v>
      </c>
      <c r="F66" s="39">
        <f>+SUM(F53:F65)</f>
        <v>100363.2</v>
      </c>
      <c r="G66" s="39"/>
      <c r="H66" s="39">
        <f t="shared" si="2"/>
        <v>364750.4</v>
      </c>
    </row>
    <row r="67" spans="1:8">
      <c r="C67" s="39"/>
      <c r="D67" s="39"/>
      <c r="E67" s="39"/>
      <c r="F67" s="39"/>
      <c r="G67" s="39"/>
    </row>
    <row r="68" spans="1:8" s="4" customFormat="1" ht="10.5">
      <c r="A68" s="14"/>
      <c r="B68" s="14" t="s">
        <v>312</v>
      </c>
      <c r="C68" s="41">
        <f>+C66+C49+C38</f>
        <v>0</v>
      </c>
      <c r="D68" s="41">
        <f>+D66+D49+D38</f>
        <v>307848</v>
      </c>
      <c r="E68" s="41">
        <f>+E66+E49+E38</f>
        <v>86779.200000000012</v>
      </c>
      <c r="F68" s="41">
        <f>+F66+F49+F38</f>
        <v>149803.20000000001</v>
      </c>
      <c r="G68" s="41"/>
      <c r="H68" s="41">
        <f>+SUM(C68:G68)</f>
        <v>544430.4</v>
      </c>
    </row>
    <row r="69" spans="1:8">
      <c r="C69" s="39"/>
      <c r="D69" s="39"/>
      <c r="E69" s="39"/>
      <c r="F69" s="39"/>
      <c r="G69" s="39"/>
    </row>
    <row r="70" spans="1:8">
      <c r="A70" s="10" t="s">
        <v>313</v>
      </c>
      <c r="C70" s="39"/>
      <c r="D70" s="39"/>
      <c r="E70" s="39"/>
      <c r="F70" s="39"/>
      <c r="G70" s="39"/>
    </row>
    <row r="71" spans="1:8">
      <c r="A71" s="10" t="s">
        <v>314</v>
      </c>
      <c r="C71" s="39"/>
      <c r="D71" s="39"/>
      <c r="E71" s="39"/>
      <c r="F71" s="39"/>
      <c r="G71" s="39"/>
    </row>
    <row r="72" spans="1:8">
      <c r="A72" s="10" t="s">
        <v>19</v>
      </c>
      <c r="B72" s="10" t="s">
        <v>323</v>
      </c>
      <c r="C72" s="39">
        <f ca="1">SUM('12-2013 Ret Emp'!I98)</f>
        <v>50913.770138623076</v>
      </c>
      <c r="D72" s="39"/>
      <c r="E72" s="39"/>
      <c r="F72" s="39"/>
      <c r="G72" s="39"/>
      <c r="H72" s="39">
        <f t="shared" ref="H72:H80" si="3">+SUM(C72:G72)</f>
        <v>50913.770138623076</v>
      </c>
    </row>
    <row r="73" spans="1:8">
      <c r="A73" s="10" t="s">
        <v>12</v>
      </c>
      <c r="B73" s="10" t="s">
        <v>315</v>
      </c>
      <c r="C73" s="39"/>
      <c r="D73" s="39"/>
      <c r="E73" s="39"/>
      <c r="F73" s="39"/>
      <c r="G73" s="39"/>
      <c r="H73" s="39">
        <f t="shared" si="3"/>
        <v>0</v>
      </c>
    </row>
    <row r="74" spans="1:8">
      <c r="A74" s="10" t="s">
        <v>13</v>
      </c>
      <c r="B74" s="10" t="s">
        <v>316</v>
      </c>
      <c r="C74" s="39"/>
      <c r="D74" s="39"/>
      <c r="E74" s="39"/>
      <c r="F74" s="39"/>
      <c r="G74" s="39"/>
      <c r="H74" s="39">
        <f t="shared" si="3"/>
        <v>0</v>
      </c>
    </row>
    <row r="75" spans="1:8">
      <c r="A75" s="10" t="s">
        <v>14</v>
      </c>
      <c r="B75" s="10" t="s">
        <v>317</v>
      </c>
      <c r="C75" s="39"/>
      <c r="D75" s="39"/>
      <c r="E75" s="39"/>
      <c r="F75" s="39"/>
      <c r="G75" s="39"/>
      <c r="H75" s="39">
        <f t="shared" si="3"/>
        <v>0</v>
      </c>
    </row>
    <row r="76" spans="1:8">
      <c r="A76" s="10" t="s">
        <v>15</v>
      </c>
      <c r="B76" s="10" t="s">
        <v>318</v>
      </c>
      <c r="C76" s="39"/>
      <c r="D76" s="39"/>
      <c r="E76" s="39"/>
      <c r="F76" s="39"/>
      <c r="G76" s="39"/>
      <c r="H76" s="39">
        <f t="shared" si="3"/>
        <v>0</v>
      </c>
    </row>
    <row r="77" spans="1:8">
      <c r="A77" s="10" t="s">
        <v>16</v>
      </c>
      <c r="B77" s="10" t="s">
        <v>319</v>
      </c>
      <c r="C77" s="39"/>
      <c r="D77" s="39"/>
      <c r="E77" s="39"/>
      <c r="F77" s="39"/>
      <c r="G77" s="39"/>
      <c r="H77" s="39">
        <f t="shared" si="3"/>
        <v>0</v>
      </c>
    </row>
    <row r="78" spans="1:8">
      <c r="A78" s="10" t="s">
        <v>17</v>
      </c>
      <c r="B78" s="10" t="s">
        <v>320</v>
      </c>
      <c r="C78" s="39"/>
      <c r="D78" s="39">
        <f ca="1">SUM('12-2013 Ret Emp'!I99*1875+'12-2013 Ret Emp'!I100*1875+'12-2013 Ret Emp'!I101*1875+'12-2013 Ret Emp'!I102*1875)</f>
        <v>101680.3125</v>
      </c>
      <c r="E78" s="39">
        <f ca="1">+'STF-SCH'!$D83+'12-2013 Ret Emp'!I103*1875</f>
        <v>42009.786000000007</v>
      </c>
      <c r="F78" s="39">
        <f ca="1">+'STF-SCH'!$D83+'STF-SCH'!$D84</f>
        <v>32353.959330000005</v>
      </c>
      <c r="G78" s="39"/>
      <c r="H78" s="39">
        <f t="shared" si="3"/>
        <v>176044.05783000003</v>
      </c>
    </row>
    <row r="79" spans="1:8" ht="14.25" customHeight="1">
      <c r="A79" s="10" t="s">
        <v>18</v>
      </c>
      <c r="B79" s="10" t="s">
        <v>322</v>
      </c>
      <c r="C79" s="40"/>
      <c r="D79" s="40"/>
      <c r="E79" s="40"/>
      <c r="F79" s="40"/>
      <c r="G79" s="39"/>
      <c r="H79" s="40">
        <f t="shared" si="3"/>
        <v>0</v>
      </c>
    </row>
    <row r="80" spans="1:8">
      <c r="B80" s="10" t="s">
        <v>24</v>
      </c>
      <c r="C80" s="39">
        <f>+SUM(C72:C79)</f>
        <v>50913.770138623076</v>
      </c>
      <c r="D80" s="39">
        <f>+SUM(D72:D79)</f>
        <v>101680.3125</v>
      </c>
      <c r="E80" s="39">
        <f>+SUM(E72:E79)</f>
        <v>42009.786000000007</v>
      </c>
      <c r="F80" s="39">
        <f>+SUM(F72:F79)</f>
        <v>32353.959330000005</v>
      </c>
      <c r="G80" s="39"/>
      <c r="H80" s="39">
        <f t="shared" si="3"/>
        <v>226957.82796862311</v>
      </c>
    </row>
    <row r="81" spans="1:8">
      <c r="C81" s="39"/>
      <c r="D81" s="39"/>
      <c r="E81" s="39"/>
      <c r="F81" s="39"/>
      <c r="G81" s="39"/>
    </row>
    <row r="82" spans="1:8">
      <c r="C82" s="39"/>
      <c r="D82" s="39"/>
      <c r="E82" s="39"/>
      <c r="F82" s="39"/>
      <c r="G82" s="39"/>
    </row>
    <row r="83" spans="1:8">
      <c r="A83" s="10" t="s">
        <v>325</v>
      </c>
      <c r="C83" s="39"/>
      <c r="D83" s="39"/>
      <c r="E83" s="39"/>
      <c r="F83" s="39"/>
      <c r="G83" s="39"/>
    </row>
    <row r="84" spans="1:8">
      <c r="A84" s="10" t="s">
        <v>20</v>
      </c>
      <c r="B84" s="10" t="s">
        <v>324</v>
      </c>
      <c r="C84" s="39"/>
      <c r="D84" s="39">
        <v>2520</v>
      </c>
      <c r="E84" s="39">
        <v>1260</v>
      </c>
      <c r="F84" s="39">
        <v>1260</v>
      </c>
      <c r="G84" s="39"/>
      <c r="H84" s="39">
        <f>+SUM(C84:G84)</f>
        <v>5040</v>
      </c>
    </row>
    <row r="85" spans="1:8">
      <c r="A85" s="10" t="s">
        <v>440</v>
      </c>
      <c r="B85" s="10" t="s">
        <v>441</v>
      </c>
      <c r="C85" s="39"/>
      <c r="D85" s="39"/>
      <c r="E85" s="39"/>
      <c r="F85" s="39"/>
      <c r="G85" s="39"/>
    </row>
    <row r="86" spans="1:8">
      <c r="A86" s="10" t="s">
        <v>21</v>
      </c>
      <c r="B86" s="10" t="s">
        <v>325</v>
      </c>
      <c r="C86" s="39"/>
      <c r="D86" s="39"/>
      <c r="E86" s="39"/>
      <c r="F86" s="39"/>
      <c r="G86" s="39"/>
      <c r="H86" s="39">
        <f>+SUM(C86:G86)</f>
        <v>0</v>
      </c>
    </row>
    <row r="87" spans="1:8">
      <c r="A87" s="10" t="s">
        <v>22</v>
      </c>
      <c r="B87" s="10" t="s">
        <v>23</v>
      </c>
      <c r="C87" s="40"/>
      <c r="D87" s="40"/>
      <c r="E87" s="40"/>
      <c r="F87" s="40"/>
      <c r="G87" s="39"/>
      <c r="H87" s="40">
        <f>+SUM(C87:G87)</f>
        <v>0</v>
      </c>
    </row>
    <row r="88" spans="1:8">
      <c r="B88" s="10" t="s">
        <v>326</v>
      </c>
      <c r="C88" s="39">
        <f>SUM(C84:C87)</f>
        <v>0</v>
      </c>
      <c r="D88" s="39">
        <f>SUM(D84:D87)</f>
        <v>2520</v>
      </c>
      <c r="E88" s="39">
        <f>SUM(E84:E87)</f>
        <v>1260</v>
      </c>
      <c r="F88" s="39">
        <f>SUM(F84:F87)</f>
        <v>1260</v>
      </c>
      <c r="G88" s="39"/>
      <c r="H88" s="39">
        <f>SUM(H84:H87)</f>
        <v>5040</v>
      </c>
    </row>
    <row r="89" spans="1:8">
      <c r="C89" s="39"/>
      <c r="D89" s="39"/>
      <c r="E89" s="39"/>
      <c r="F89" s="39"/>
      <c r="G89" s="39"/>
    </row>
    <row r="90" spans="1:8">
      <c r="B90" s="10" t="s">
        <v>327</v>
      </c>
      <c r="C90" s="39">
        <f>SUM(C80+C88)</f>
        <v>50913.770138623076</v>
      </c>
      <c r="D90" s="39">
        <f>SUM(D80+D88)</f>
        <v>104200.3125</v>
      </c>
      <c r="E90" s="39">
        <f>SUM(E80+E88)</f>
        <v>43269.786000000007</v>
      </c>
      <c r="F90" s="39">
        <f>SUM(F80+F88)</f>
        <v>33613.959330000005</v>
      </c>
      <c r="G90" s="39"/>
      <c r="H90" s="39">
        <f>SUM(H80+H88)</f>
        <v>231997.82796862311</v>
      </c>
    </row>
    <row r="91" spans="1:8">
      <c r="C91" s="39"/>
      <c r="D91" s="39"/>
      <c r="E91" s="39"/>
      <c r="F91" s="39"/>
      <c r="G91" s="39"/>
    </row>
    <row r="92" spans="1:8">
      <c r="A92" s="10" t="s">
        <v>328</v>
      </c>
      <c r="C92" s="39"/>
      <c r="D92" s="39"/>
      <c r="E92" s="39"/>
      <c r="F92" s="39"/>
      <c r="G92" s="39"/>
    </row>
    <row r="93" spans="1:8">
      <c r="A93" s="10" t="s">
        <v>25</v>
      </c>
      <c r="B93" s="10" t="s">
        <v>33</v>
      </c>
      <c r="C93" s="39">
        <f>+C$7*139.64*2*1.05*12</f>
        <v>3518.9279999999999</v>
      </c>
      <c r="D93" s="39">
        <f>+D$7*139.64*2*1.05*12</f>
        <v>14075.712</v>
      </c>
      <c r="E93" s="39">
        <f>+E$7*139.64*2*1.05*12</f>
        <v>7037.8559999999998</v>
      </c>
      <c r="F93" s="39">
        <f>+F$7*139.64*2*1.05*12</f>
        <v>7037.8559999999998</v>
      </c>
      <c r="G93" s="39"/>
      <c r="H93" s="39">
        <f t="shared" ref="H93:H101" si="4">+SUM(C93:G93)</f>
        <v>31670.351999999999</v>
      </c>
    </row>
    <row r="94" spans="1:8">
      <c r="A94" s="10" t="s">
        <v>26</v>
      </c>
      <c r="B94" s="10" t="s">
        <v>34</v>
      </c>
      <c r="C94" s="39">
        <f>+C$7*8.74*2*1.02*12</f>
        <v>213.95519999999999</v>
      </c>
      <c r="D94" s="39">
        <f>+D$7*8.74*2*1.02*12</f>
        <v>855.82079999999996</v>
      </c>
      <c r="E94" s="39">
        <f>+E$7*8.74*2*1.02*12</f>
        <v>427.91039999999998</v>
      </c>
      <c r="F94" s="39">
        <f>+F$7*8.74*2*1.02*12</f>
        <v>427.91039999999998</v>
      </c>
      <c r="G94" s="39"/>
      <c r="H94" s="39">
        <f t="shared" si="4"/>
        <v>1925.5967999999998</v>
      </c>
    </row>
    <row r="95" spans="1:8">
      <c r="A95" s="10" t="s">
        <v>28</v>
      </c>
      <c r="B95" s="10" t="s">
        <v>27</v>
      </c>
      <c r="C95" s="39">
        <f>(+C$88-C$84+C$80)*0.062</f>
        <v>3156.6537485946305</v>
      </c>
      <c r="D95" s="39">
        <f>(+D$88-D$84+D$80)*0.062</f>
        <v>6304.1793749999997</v>
      </c>
      <c r="E95" s="39">
        <f>(+E$88-E$84+E$80)*0.062</f>
        <v>2604.6067320000006</v>
      </c>
      <c r="F95" s="39">
        <f>(+F$88-F$84+F$80)*0.062</f>
        <v>2005.9454784600002</v>
      </c>
      <c r="G95" s="39"/>
      <c r="H95" s="39">
        <f t="shared" si="4"/>
        <v>14071.38533405463</v>
      </c>
    </row>
    <row r="96" spans="1:8">
      <c r="A96" s="10" t="s">
        <v>30</v>
      </c>
      <c r="B96" s="10" t="s">
        <v>29</v>
      </c>
      <c r="C96" s="39">
        <f>(+C$88-C$84+C$80)*0.0145</f>
        <v>738.24966701003461</v>
      </c>
      <c r="D96" s="39">
        <f>(+D$88-D$84+D$80)*0.0145</f>
        <v>1474.36453125</v>
      </c>
      <c r="E96" s="39">
        <f>(+E$88-E$84+E$80)*0.0145</f>
        <v>609.14189700000009</v>
      </c>
      <c r="F96" s="39">
        <f>(+F$88-F$84+F$80)*0.0145</f>
        <v>469.13241028500011</v>
      </c>
      <c r="G96" s="39"/>
      <c r="H96" s="39">
        <f t="shared" si="4"/>
        <v>3290.8885055450346</v>
      </c>
    </row>
    <row r="97" spans="1:9">
      <c r="A97" s="10" t="s">
        <v>31</v>
      </c>
      <c r="B97" s="10" t="s">
        <v>32</v>
      </c>
      <c r="C97" s="39">
        <f>(+C$88-C$84+C$80)*0.06</f>
        <v>3054.8262083173845</v>
      </c>
      <c r="D97" s="39">
        <f>(+D$88-D$84+D$80)*0.06</f>
        <v>6100.8187499999995</v>
      </c>
      <c r="E97" s="39">
        <f>(+E$88-E$84+E$80)*0.06</f>
        <v>2520.5871600000005</v>
      </c>
      <c r="F97" s="39">
        <f>(+F$88-F$84+F$80)*0.06</f>
        <v>1941.2375598000003</v>
      </c>
      <c r="G97" s="39"/>
      <c r="H97" s="39">
        <f t="shared" si="4"/>
        <v>13617.469678117384</v>
      </c>
    </row>
    <row r="98" spans="1:9">
      <c r="A98" s="10" t="s">
        <v>36</v>
      </c>
      <c r="B98" s="10" t="s">
        <v>35</v>
      </c>
      <c r="C98" s="39">
        <f>(+C$88-C$84+C$80)*0.0056</f>
        <v>285.11711277628922</v>
      </c>
      <c r="D98" s="39">
        <f>(+D$88-D$84+D$80)*0.0056</f>
        <v>569.40975000000003</v>
      </c>
      <c r="E98" s="39">
        <f>(+E$88-E$84+E$80)*0.0056</f>
        <v>235.25480160000004</v>
      </c>
      <c r="F98" s="39">
        <f>(+F$88-F$84+F$80)*0.0056</f>
        <v>181.18217224800003</v>
      </c>
      <c r="G98" s="39"/>
      <c r="H98" s="39">
        <f t="shared" si="4"/>
        <v>1270.9638366242893</v>
      </c>
    </row>
    <row r="99" spans="1:9">
      <c r="A99" s="10" t="s">
        <v>38</v>
      </c>
      <c r="B99" s="10" t="s">
        <v>37</v>
      </c>
      <c r="C99" s="39">
        <f>+C$7*7700*0.0201</f>
        <v>154.77000000000001</v>
      </c>
      <c r="D99" s="39">
        <f>+D$7*7700*0.0201</f>
        <v>619.08000000000004</v>
      </c>
      <c r="E99" s="39">
        <f>+E$7*7700*0.0201</f>
        <v>309.54000000000002</v>
      </c>
      <c r="F99" s="39">
        <f>+F$7*7700*0.0201</f>
        <v>309.54000000000002</v>
      </c>
      <c r="G99" s="39"/>
      <c r="H99" s="39">
        <f t="shared" si="4"/>
        <v>1392.93</v>
      </c>
    </row>
    <row r="100" spans="1:9">
      <c r="A100" s="10" t="s">
        <v>83</v>
      </c>
      <c r="B100" s="10" t="s">
        <v>84</v>
      </c>
      <c r="C100" s="39"/>
      <c r="D100" s="39"/>
      <c r="E100" s="39"/>
      <c r="F100" s="39"/>
      <c r="G100" s="39"/>
      <c r="H100" s="39">
        <f>+SUM(C100:G100)</f>
        <v>0</v>
      </c>
    </row>
    <row r="101" spans="1:9">
      <c r="A101" s="10" t="s">
        <v>39</v>
      </c>
      <c r="B101" s="10" t="s">
        <v>40</v>
      </c>
      <c r="C101" s="40">
        <f>(+C$88-C$84+C$80)*(0.0024+0.0036+0.0013)</f>
        <v>371.67052201194844</v>
      </c>
      <c r="D101" s="40">
        <f>(+D$88-D$84+D$80)*(0.0024+0.0036+0.0013)</f>
        <v>742.26628125000002</v>
      </c>
      <c r="E101" s="40">
        <f>(+E$88-E$84+E$80)*(0.0024+0.0036+0.0013)</f>
        <v>306.67143780000004</v>
      </c>
      <c r="F101" s="40">
        <f>(+F$88-F$84+F$80)*(0.0024+0.0036+0.0013)</f>
        <v>236.18390310900003</v>
      </c>
      <c r="G101" s="39"/>
      <c r="H101" s="40">
        <f t="shared" si="4"/>
        <v>1656.7921441709484</v>
      </c>
    </row>
    <row r="102" spans="1:9">
      <c r="B102" s="10" t="s">
        <v>235</v>
      </c>
      <c r="C102" s="39">
        <f>SUM(C93:C101)</f>
        <v>11494.170458710289</v>
      </c>
      <c r="D102" s="39">
        <f>SUM(D93:D101)</f>
        <v>30741.651487499999</v>
      </c>
      <c r="E102" s="39">
        <f>SUM(E93:E101)</f>
        <v>14051.568428400002</v>
      </c>
      <c r="F102" s="39">
        <f>SUM(F93:F101)</f>
        <v>12608.987923901999</v>
      </c>
      <c r="G102" s="39"/>
      <c r="H102" s="39">
        <f>SUM(H93:H101)</f>
        <v>68896.378298512282</v>
      </c>
      <c r="I102" s="39"/>
    </row>
    <row r="103" spans="1:9">
      <c r="C103" s="39"/>
      <c r="D103" s="39"/>
      <c r="E103" s="39"/>
      <c r="F103" s="39"/>
      <c r="G103" s="39"/>
    </row>
    <row r="104" spans="1:9" s="4" customFormat="1" ht="10.5">
      <c r="A104" s="14"/>
      <c r="B104" s="14" t="s">
        <v>236</v>
      </c>
      <c r="C104" s="41">
        <f>SUM(C90+C102)</f>
        <v>62407.940597333363</v>
      </c>
      <c r="D104" s="41">
        <f>SUM(D90+D102)</f>
        <v>134941.9639875</v>
      </c>
      <c r="E104" s="41">
        <f>SUM(E90+E102)</f>
        <v>57321.354428400009</v>
      </c>
      <c r="F104" s="41">
        <f>SUM(F90+F102)</f>
        <v>46222.947253902006</v>
      </c>
      <c r="G104" s="41"/>
      <c r="H104" s="41">
        <f>SUM(H90+H102)</f>
        <v>300894.20626713539</v>
      </c>
    </row>
    <row r="105" spans="1:9">
      <c r="C105" s="39"/>
      <c r="D105" s="39"/>
      <c r="E105" s="39"/>
      <c r="F105" s="39"/>
      <c r="G105" s="39"/>
    </row>
    <row r="106" spans="1:9">
      <c r="A106" s="10" t="s">
        <v>237</v>
      </c>
      <c r="C106" s="39"/>
      <c r="D106" s="39"/>
      <c r="E106" s="39"/>
      <c r="F106" s="39"/>
      <c r="G106" s="39"/>
    </row>
    <row r="107" spans="1:9">
      <c r="A107" s="10" t="s">
        <v>238</v>
      </c>
      <c r="C107" s="39"/>
      <c r="D107" s="39"/>
      <c r="E107" s="39"/>
      <c r="F107" s="39"/>
      <c r="G107" s="39"/>
    </row>
    <row r="108" spans="1:9">
      <c r="A108" s="10" t="s">
        <v>51</v>
      </c>
      <c r="B108" s="10" t="s">
        <v>50</v>
      </c>
      <c r="C108" s="39"/>
      <c r="D108" s="39"/>
      <c r="E108" s="39"/>
      <c r="F108" s="39"/>
      <c r="G108" s="39"/>
      <c r="H108" s="39">
        <f t="shared" ref="H108:H121" si="5">+SUM(C108:G108)</f>
        <v>0</v>
      </c>
    </row>
    <row r="109" spans="1:9">
      <c r="A109" s="10" t="s">
        <v>41</v>
      </c>
      <c r="B109" s="10" t="s">
        <v>42</v>
      </c>
      <c r="C109" s="39"/>
      <c r="D109" s="39"/>
      <c r="E109" s="39"/>
      <c r="F109" s="39"/>
      <c r="G109" s="39"/>
      <c r="H109" s="39">
        <f t="shared" si="5"/>
        <v>0</v>
      </c>
    </row>
    <row r="110" spans="1:9">
      <c r="A110" s="10" t="s">
        <v>43</v>
      </c>
      <c r="B110" s="10" t="s">
        <v>239</v>
      </c>
      <c r="C110" s="39">
        <v>500</v>
      </c>
      <c r="D110" s="39"/>
      <c r="E110" s="39">
        <v>150</v>
      </c>
      <c r="F110" s="39">
        <v>300</v>
      </c>
      <c r="G110" s="39"/>
      <c r="H110" s="39">
        <f t="shared" si="5"/>
        <v>950</v>
      </c>
    </row>
    <row r="111" spans="1:9">
      <c r="A111" s="10" t="s">
        <v>44</v>
      </c>
      <c r="B111" s="10" t="s">
        <v>45</v>
      </c>
      <c r="C111" s="39"/>
      <c r="D111" s="39"/>
      <c r="E111" s="39"/>
      <c r="F111" s="39"/>
      <c r="G111" s="39"/>
      <c r="H111" s="39">
        <f t="shared" si="5"/>
        <v>0</v>
      </c>
    </row>
    <row r="112" spans="1:9">
      <c r="A112" s="10" t="s">
        <v>46</v>
      </c>
      <c r="B112" s="10" t="s">
        <v>240</v>
      </c>
      <c r="C112" s="39"/>
      <c r="D112" s="39"/>
      <c r="E112" s="39"/>
      <c r="F112" s="39"/>
      <c r="G112" s="39"/>
      <c r="H112" s="39">
        <f t="shared" si="5"/>
        <v>0</v>
      </c>
    </row>
    <row r="113" spans="1:8">
      <c r="A113" s="10" t="s">
        <v>47</v>
      </c>
      <c r="B113" s="10" t="s">
        <v>241</v>
      </c>
      <c r="C113" s="39"/>
      <c r="D113" s="39"/>
      <c r="E113" s="39"/>
      <c r="F113" s="39"/>
      <c r="G113" s="39"/>
      <c r="H113" s="39">
        <f t="shared" si="5"/>
        <v>0</v>
      </c>
    </row>
    <row r="114" spans="1:8">
      <c r="A114" s="10" t="s">
        <v>48</v>
      </c>
      <c r="B114" s="10" t="s">
        <v>49</v>
      </c>
      <c r="C114" s="39"/>
      <c r="D114" s="39"/>
      <c r="E114" s="39"/>
      <c r="F114" s="39"/>
      <c r="G114" s="39"/>
      <c r="H114" s="39">
        <f t="shared" si="5"/>
        <v>0</v>
      </c>
    </row>
    <row r="115" spans="1:8">
      <c r="A115" s="10" t="s">
        <v>82</v>
      </c>
      <c r="B115" s="10" t="s">
        <v>166</v>
      </c>
      <c r="C115" s="39"/>
      <c r="D115" s="39"/>
      <c r="E115" s="39"/>
      <c r="F115" s="39"/>
      <c r="G115" s="39"/>
      <c r="H115" s="39">
        <f t="shared" ref="H115:H120" si="6">+SUM(C115:G115)</f>
        <v>0</v>
      </c>
    </row>
    <row r="116" spans="1:8">
      <c r="A116" s="10" t="s">
        <v>104</v>
      </c>
      <c r="B116" s="10" t="s">
        <v>103</v>
      </c>
      <c r="C116" s="39"/>
      <c r="D116" s="39"/>
      <c r="E116" s="39"/>
      <c r="F116" s="39"/>
      <c r="G116" s="39"/>
      <c r="H116" s="39">
        <f t="shared" si="6"/>
        <v>0</v>
      </c>
    </row>
    <row r="117" spans="1:8">
      <c r="A117" s="10" t="s">
        <v>59</v>
      </c>
      <c r="B117" s="10" t="s">
        <v>321</v>
      </c>
      <c r="C117" s="39"/>
      <c r="D117" s="39"/>
      <c r="E117" s="39"/>
      <c r="F117" s="39"/>
      <c r="G117" s="39"/>
      <c r="H117" s="39">
        <f t="shared" si="6"/>
        <v>0</v>
      </c>
    </row>
    <row r="118" spans="1:8">
      <c r="A118" s="10" t="s">
        <v>87</v>
      </c>
      <c r="B118" s="10" t="s">
        <v>88</v>
      </c>
      <c r="C118" s="39"/>
      <c r="D118" s="39"/>
      <c r="E118" s="39"/>
      <c r="F118" s="39"/>
      <c r="G118" s="39"/>
      <c r="H118" s="39">
        <f t="shared" si="6"/>
        <v>0</v>
      </c>
    </row>
    <row r="119" spans="1:8">
      <c r="A119" s="10" t="s">
        <v>89</v>
      </c>
      <c r="B119" s="10" t="s">
        <v>90</v>
      </c>
      <c r="C119" s="39"/>
      <c r="D119" s="39"/>
      <c r="E119" s="39"/>
      <c r="F119" s="39"/>
      <c r="G119" s="39"/>
      <c r="H119" s="39">
        <f t="shared" si="6"/>
        <v>0</v>
      </c>
    </row>
    <row r="120" spans="1:8">
      <c r="A120" s="10" t="s">
        <v>450</v>
      </c>
      <c r="B120" s="10" t="s">
        <v>451</v>
      </c>
      <c r="C120" s="39"/>
      <c r="D120" s="39"/>
      <c r="E120" s="39"/>
      <c r="F120" s="39"/>
      <c r="G120" s="39"/>
      <c r="H120" s="39">
        <f t="shared" si="6"/>
        <v>0</v>
      </c>
    </row>
    <row r="121" spans="1:8">
      <c r="A121" s="10" t="s">
        <v>52</v>
      </c>
      <c r="B121" s="10" t="s">
        <v>53</v>
      </c>
      <c r="C121" s="40"/>
      <c r="D121" s="40"/>
      <c r="E121" s="40"/>
      <c r="F121" s="40"/>
      <c r="G121" s="39"/>
      <c r="H121" s="40">
        <f t="shared" si="5"/>
        <v>0</v>
      </c>
    </row>
    <row r="122" spans="1:8">
      <c r="B122" s="10" t="s">
        <v>242</v>
      </c>
      <c r="C122" s="39">
        <f>SUM(C108:C121)</f>
        <v>500</v>
      </c>
      <c r="D122" s="39">
        <f>SUM(D108:D121)</f>
        <v>0</v>
      </c>
      <c r="E122" s="39">
        <f>SUM(E108:E121)</f>
        <v>150</v>
      </c>
      <c r="F122" s="39">
        <f>SUM(F108:F121)</f>
        <v>300</v>
      </c>
      <c r="G122" s="39"/>
      <c r="H122" s="39">
        <f>SUM(H108:H121)</f>
        <v>950</v>
      </c>
    </row>
    <row r="123" spans="1:8">
      <c r="C123" s="39"/>
      <c r="D123" s="39"/>
      <c r="E123" s="39"/>
      <c r="F123" s="39"/>
      <c r="G123" s="39"/>
    </row>
    <row r="124" spans="1:8">
      <c r="A124" s="10" t="s">
        <v>243</v>
      </c>
      <c r="C124" s="39"/>
      <c r="D124" s="39"/>
      <c r="E124" s="39"/>
      <c r="F124" s="39"/>
      <c r="G124" s="39"/>
    </row>
    <row r="125" spans="1:8">
      <c r="A125" s="10" t="s">
        <v>56</v>
      </c>
      <c r="B125" s="10" t="s">
        <v>246</v>
      </c>
      <c r="C125" s="39"/>
      <c r="D125" s="39"/>
      <c r="E125" s="39"/>
      <c r="F125" s="39"/>
      <c r="G125" s="39"/>
      <c r="H125" s="39">
        <f t="shared" ref="H125:H132" si="7">+SUM(C125:G125)</f>
        <v>0</v>
      </c>
    </row>
    <row r="126" spans="1:8">
      <c r="A126" s="10" t="s">
        <v>57</v>
      </c>
      <c r="B126" s="10" t="s">
        <v>247</v>
      </c>
      <c r="C126" s="39"/>
      <c r="D126" s="39"/>
      <c r="E126" s="39"/>
      <c r="F126" s="39"/>
      <c r="G126" s="39"/>
      <c r="H126" s="39">
        <f t="shared" si="7"/>
        <v>0</v>
      </c>
    </row>
    <row r="127" spans="1:8">
      <c r="A127" s="10" t="s">
        <v>58</v>
      </c>
      <c r="B127" s="10" t="s">
        <v>248</v>
      </c>
      <c r="C127" s="39"/>
      <c r="D127" s="39"/>
      <c r="E127" s="39"/>
      <c r="F127" s="39"/>
      <c r="G127" s="39"/>
      <c r="H127" s="39">
        <f t="shared" si="7"/>
        <v>0</v>
      </c>
    </row>
    <row r="128" spans="1:8">
      <c r="A128" s="10" t="s">
        <v>55</v>
      </c>
      <c r="B128" s="10" t="s">
        <v>245</v>
      </c>
      <c r="C128" s="39"/>
      <c r="D128" s="39"/>
      <c r="E128" s="39"/>
      <c r="F128" s="39"/>
      <c r="G128" s="39"/>
      <c r="H128" s="39">
        <f t="shared" si="7"/>
        <v>0</v>
      </c>
    </row>
    <row r="129" spans="1:8" ht="10.5" customHeight="1">
      <c r="A129" s="10" t="s">
        <v>54</v>
      </c>
      <c r="B129" s="10" t="s">
        <v>244</v>
      </c>
      <c r="C129" s="39"/>
      <c r="D129" s="39"/>
      <c r="E129" s="39"/>
      <c r="F129" s="39"/>
      <c r="G129" s="39"/>
      <c r="H129" s="39">
        <f t="shared" si="7"/>
        <v>0</v>
      </c>
    </row>
    <row r="130" spans="1:8">
      <c r="A130" s="10" t="s">
        <v>60</v>
      </c>
      <c r="B130" s="10" t="s">
        <v>61</v>
      </c>
      <c r="C130" s="39"/>
      <c r="D130" s="39">
        <v>5675</v>
      </c>
      <c r="E130" s="39">
        <v>750</v>
      </c>
      <c r="F130" s="39">
        <v>0</v>
      </c>
      <c r="G130" s="39"/>
      <c r="H130" s="39">
        <f t="shared" si="7"/>
        <v>6425</v>
      </c>
    </row>
    <row r="131" spans="1:8">
      <c r="A131" s="10" t="s">
        <v>448</v>
      </c>
      <c r="B131" s="10" t="s">
        <v>449</v>
      </c>
      <c r="C131" s="39"/>
      <c r="D131" s="39"/>
      <c r="E131" s="39"/>
      <c r="F131" s="39"/>
      <c r="G131" s="39"/>
      <c r="H131" s="39">
        <f>+SUM(C131:G131)</f>
        <v>0</v>
      </c>
    </row>
    <row r="132" spans="1:8">
      <c r="A132" s="10" t="s">
        <v>62</v>
      </c>
      <c r="B132" s="10" t="s">
        <v>249</v>
      </c>
      <c r="C132" s="40"/>
      <c r="D132" s="40"/>
      <c r="E132" s="40"/>
      <c r="F132" s="40"/>
      <c r="G132" s="39"/>
      <c r="H132" s="40">
        <f t="shared" si="7"/>
        <v>0</v>
      </c>
    </row>
    <row r="133" spans="1:8">
      <c r="B133" s="10" t="s">
        <v>250</v>
      </c>
      <c r="C133" s="39">
        <f>SUM(C125:C132)</f>
        <v>0</v>
      </c>
      <c r="D133" s="39">
        <f>SUM(D125:D132)</f>
        <v>5675</v>
      </c>
      <c r="E133" s="39">
        <f>SUM(E125:E132)</f>
        <v>750</v>
      </c>
      <c r="F133" s="39">
        <f>SUM(F125:F132)</f>
        <v>0</v>
      </c>
      <c r="G133" s="39"/>
      <c r="H133" s="39">
        <f>SUM(H125:H132)</f>
        <v>6425</v>
      </c>
    </row>
    <row r="134" spans="1:8">
      <c r="C134" s="39"/>
      <c r="D134" s="39"/>
      <c r="E134" s="39"/>
      <c r="F134" s="39"/>
      <c r="G134" s="39"/>
    </row>
    <row r="135" spans="1:8">
      <c r="A135" s="10" t="s">
        <v>251</v>
      </c>
      <c r="C135" s="39"/>
      <c r="D135" s="39"/>
      <c r="E135" s="39"/>
      <c r="F135" s="39"/>
      <c r="G135" s="39"/>
    </row>
    <row r="136" spans="1:8">
      <c r="A136" s="10" t="s">
        <v>252</v>
      </c>
      <c r="C136" s="39"/>
      <c r="D136" s="39"/>
      <c r="E136" s="39"/>
      <c r="F136" s="39"/>
      <c r="G136" s="39"/>
    </row>
    <row r="137" spans="1:8">
      <c r="A137" s="10" t="s">
        <v>63</v>
      </c>
      <c r="B137" s="10" t="s">
        <v>253</v>
      </c>
      <c r="C137" s="39"/>
      <c r="D137" s="39"/>
      <c r="E137" s="39"/>
      <c r="F137" s="39"/>
      <c r="G137" s="39"/>
      <c r="H137" s="39">
        <f>+SUM(C137:G137)</f>
        <v>0</v>
      </c>
    </row>
    <row r="138" spans="1:8">
      <c r="A138" s="10" t="s">
        <v>64</v>
      </c>
      <c r="B138" s="10" t="s">
        <v>254</v>
      </c>
      <c r="C138" s="39"/>
      <c r="D138" s="39"/>
      <c r="E138" s="39"/>
      <c r="F138" s="39"/>
      <c r="G138" s="39"/>
      <c r="H138" s="39">
        <f>+SUM(C138:G138)</f>
        <v>0</v>
      </c>
    </row>
    <row r="139" spans="1:8">
      <c r="A139" s="10" t="s">
        <v>454</v>
      </c>
      <c r="B139" s="10" t="s">
        <v>455</v>
      </c>
      <c r="C139" s="39">
        <f>3432*1.05</f>
        <v>3603.6000000000004</v>
      </c>
      <c r="D139" s="39"/>
      <c r="E139" s="39"/>
      <c r="F139" s="39"/>
      <c r="G139" s="39"/>
      <c r="H139" s="39">
        <f>+SUM(C139:G139)</f>
        <v>3603.6000000000004</v>
      </c>
    </row>
    <row r="140" spans="1:8">
      <c r="A140" s="10" t="s">
        <v>65</v>
      </c>
      <c r="B140" s="10" t="s">
        <v>255</v>
      </c>
      <c r="C140" s="40"/>
      <c r="D140" s="40"/>
      <c r="E140" s="40"/>
      <c r="F140" s="40"/>
      <c r="G140" s="39"/>
      <c r="H140" s="40">
        <f>+SUM(C140:G140)</f>
        <v>0</v>
      </c>
    </row>
    <row r="141" spans="1:8">
      <c r="B141" s="10" t="s">
        <v>256</v>
      </c>
      <c r="C141" s="39">
        <f>SUM(C137:C140)</f>
        <v>3603.6000000000004</v>
      </c>
      <c r="D141" s="39">
        <f>SUM(D137:D140)</f>
        <v>0</v>
      </c>
      <c r="E141" s="39">
        <f>SUM(E137:E140)</f>
        <v>0</v>
      </c>
      <c r="F141" s="39">
        <f>SUM(F137:F140)</f>
        <v>0</v>
      </c>
      <c r="G141" s="39"/>
      <c r="H141" s="39">
        <f>SUM(H137:H140)</f>
        <v>3603.6000000000004</v>
      </c>
    </row>
    <row r="142" spans="1:8">
      <c r="C142" s="39"/>
      <c r="D142" s="39"/>
      <c r="E142" s="39"/>
      <c r="F142" s="39"/>
      <c r="G142" s="39"/>
    </row>
    <row r="143" spans="1:8">
      <c r="A143" s="10" t="s">
        <v>257</v>
      </c>
      <c r="C143" s="39"/>
      <c r="D143" s="39"/>
      <c r="E143" s="39"/>
      <c r="F143" s="39"/>
      <c r="G143" s="39"/>
    </row>
    <row r="144" spans="1:8">
      <c r="A144" s="10" t="s">
        <v>66</v>
      </c>
      <c r="B144" s="10" t="s">
        <v>258</v>
      </c>
      <c r="C144" s="39"/>
      <c r="D144" s="39"/>
      <c r="E144" s="39"/>
      <c r="F144" s="39"/>
      <c r="G144" s="39"/>
      <c r="H144" s="39">
        <f t="shared" ref="H144:H149" si="8">+SUM(C144:G144)</f>
        <v>0</v>
      </c>
    </row>
    <row r="145" spans="1:8">
      <c r="A145" s="10" t="s">
        <v>67</v>
      </c>
      <c r="B145" s="10" t="s">
        <v>259</v>
      </c>
      <c r="C145" s="39"/>
      <c r="D145" s="39"/>
      <c r="E145" s="39"/>
      <c r="F145" s="39"/>
      <c r="G145" s="39"/>
      <c r="H145" s="39">
        <f t="shared" si="8"/>
        <v>0</v>
      </c>
    </row>
    <row r="146" spans="1:8">
      <c r="A146" s="10" t="s">
        <v>68</v>
      </c>
      <c r="B146" s="10" t="s">
        <v>260</v>
      </c>
      <c r="C146" s="39">
        <f>55*12</f>
        <v>660</v>
      </c>
      <c r="D146" s="39"/>
      <c r="E146" s="39">
        <f>55*12</f>
        <v>660</v>
      </c>
      <c r="F146" s="39">
        <f>55*12</f>
        <v>660</v>
      </c>
      <c r="G146" s="39"/>
      <c r="H146" s="39">
        <f t="shared" si="8"/>
        <v>1980</v>
      </c>
    </row>
    <row r="147" spans="1:8">
      <c r="A147" s="10" t="s">
        <v>69</v>
      </c>
      <c r="B147" s="10" t="s">
        <v>261</v>
      </c>
      <c r="C147" s="39"/>
      <c r="D147" s="39"/>
      <c r="E147" s="39"/>
      <c r="F147" s="39"/>
      <c r="G147" s="39"/>
      <c r="H147" s="39">
        <f t="shared" si="8"/>
        <v>0</v>
      </c>
    </row>
    <row r="148" spans="1:8" ht="12" customHeight="1">
      <c r="A148" s="10" t="s">
        <v>70</v>
      </c>
      <c r="B148" s="10" t="s">
        <v>262</v>
      </c>
      <c r="C148" s="39"/>
      <c r="D148" s="39"/>
      <c r="E148" s="39"/>
      <c r="F148" s="39"/>
      <c r="G148" s="39"/>
      <c r="H148" s="39">
        <f t="shared" si="8"/>
        <v>0</v>
      </c>
    </row>
    <row r="149" spans="1:8">
      <c r="A149" s="10" t="s">
        <v>462</v>
      </c>
      <c r="B149" s="10" t="s">
        <v>464</v>
      </c>
      <c r="C149" s="40"/>
      <c r="D149" s="40"/>
      <c r="E149" s="40"/>
      <c r="F149" s="40"/>
      <c r="G149" s="39"/>
      <c r="H149" s="40">
        <f t="shared" si="8"/>
        <v>0</v>
      </c>
    </row>
    <row r="150" spans="1:8">
      <c r="B150" s="10" t="s">
        <v>263</v>
      </c>
      <c r="C150" s="39">
        <f>SUM(C144:C149)</f>
        <v>660</v>
      </c>
      <c r="D150" s="39">
        <f>SUM(D144:D149)</f>
        <v>0</v>
      </c>
      <c r="E150" s="39">
        <f>SUM(E144:E149)</f>
        <v>660</v>
      </c>
      <c r="F150" s="39">
        <f>SUM(F144:F149)</f>
        <v>660</v>
      </c>
      <c r="G150" s="39"/>
      <c r="H150" s="39">
        <f>SUM(H144:H149)</f>
        <v>1980</v>
      </c>
    </row>
    <row r="151" spans="1:8">
      <c r="C151" s="39"/>
      <c r="D151" s="39"/>
      <c r="E151" s="39"/>
      <c r="F151" s="39"/>
      <c r="G151" s="39"/>
    </row>
    <row r="152" spans="1:8">
      <c r="A152" s="10" t="s">
        <v>264</v>
      </c>
      <c r="C152" s="39"/>
      <c r="D152" s="39"/>
      <c r="E152" s="39"/>
      <c r="F152" s="39"/>
      <c r="G152" s="39"/>
    </row>
    <row r="153" spans="1:8">
      <c r="A153" s="10" t="s">
        <v>265</v>
      </c>
      <c r="C153" s="39"/>
      <c r="D153" s="39"/>
      <c r="E153" s="39"/>
      <c r="F153" s="39"/>
      <c r="G153" s="39"/>
    </row>
    <row r="154" spans="1:8">
      <c r="A154" s="10" t="s">
        <v>71</v>
      </c>
      <c r="B154" s="10" t="s">
        <v>72</v>
      </c>
      <c r="C154" s="40">
        <v>1750</v>
      </c>
      <c r="D154" s="40">
        <f>50*D7</f>
        <v>200</v>
      </c>
      <c r="E154" s="40">
        <v>180</v>
      </c>
      <c r="F154" s="40">
        <f>50*F7</f>
        <v>100</v>
      </c>
      <c r="G154" s="39"/>
      <c r="H154" s="40">
        <f>+SUM(C154:G154)</f>
        <v>2230</v>
      </c>
    </row>
    <row r="155" spans="1:8">
      <c r="B155" s="10" t="s">
        <v>266</v>
      </c>
      <c r="C155" s="39">
        <f>SUM(C154)</f>
        <v>1750</v>
      </c>
      <c r="D155" s="39">
        <f>SUM(D154)</f>
        <v>200</v>
      </c>
      <c r="E155" s="39">
        <f>SUM(E154)</f>
        <v>180</v>
      </c>
      <c r="F155" s="39">
        <f>SUM(F154)</f>
        <v>100</v>
      </c>
      <c r="G155" s="39"/>
      <c r="H155" s="39">
        <f>SUM(H154)</f>
        <v>2230</v>
      </c>
    </row>
    <row r="156" spans="1:8">
      <c r="C156" s="39"/>
      <c r="D156" s="39"/>
      <c r="E156" s="39"/>
      <c r="F156" s="39"/>
      <c r="G156" s="39"/>
    </row>
    <row r="157" spans="1:8">
      <c r="A157" s="10" t="s">
        <v>267</v>
      </c>
      <c r="C157" s="39"/>
      <c r="D157" s="39"/>
      <c r="E157" s="39"/>
      <c r="F157" s="39"/>
      <c r="G157" s="39"/>
    </row>
    <row r="158" spans="1:8">
      <c r="A158" s="10" t="s">
        <v>73</v>
      </c>
      <c r="B158" s="10" t="s">
        <v>74</v>
      </c>
      <c r="C158" s="39">
        <v>500</v>
      </c>
      <c r="D158" s="39">
        <v>17280</v>
      </c>
      <c r="E158" s="39">
        <v>5904</v>
      </c>
      <c r="F158" s="39">
        <f ca="1">28.8*SUM!B7+5000</f>
        <v>13899.2</v>
      </c>
      <c r="G158" s="39"/>
      <c r="H158" s="39">
        <f t="shared" ref="H158:H170" si="9">+SUM(C158:G158)</f>
        <v>37583.199999999997</v>
      </c>
    </row>
    <row r="159" spans="1:8">
      <c r="A159" s="10" t="s">
        <v>75</v>
      </c>
      <c r="B159" s="10" t="s">
        <v>154</v>
      </c>
      <c r="C159" s="39">
        <v>4000</v>
      </c>
      <c r="D159" s="39"/>
      <c r="E159" s="39"/>
      <c r="F159" s="39"/>
      <c r="G159" s="39"/>
      <c r="H159" s="39">
        <f t="shared" si="9"/>
        <v>4000</v>
      </c>
    </row>
    <row r="160" spans="1:8">
      <c r="A160" s="10" t="s">
        <v>456</v>
      </c>
      <c r="B160" s="10" t="s">
        <v>97</v>
      </c>
      <c r="C160" s="39"/>
      <c r="D160" s="39"/>
      <c r="E160" s="39"/>
      <c r="F160" s="39">
        <v>0</v>
      </c>
      <c r="G160" s="39"/>
      <c r="H160" s="39">
        <f t="shared" si="9"/>
        <v>0</v>
      </c>
    </row>
    <row r="161" spans="1:8">
      <c r="A161" s="10" t="s">
        <v>457</v>
      </c>
      <c r="B161" s="10" t="s">
        <v>458</v>
      </c>
      <c r="C161" s="39"/>
      <c r="D161" s="39"/>
      <c r="E161" s="39"/>
      <c r="F161" s="39"/>
      <c r="G161" s="39"/>
      <c r="H161" s="39">
        <f t="shared" si="9"/>
        <v>0</v>
      </c>
    </row>
    <row r="162" spans="1:8">
      <c r="A162" s="10" t="s">
        <v>459</v>
      </c>
      <c r="B162" s="10" t="s">
        <v>460</v>
      </c>
      <c r="C162" s="39"/>
      <c r="D162" s="39"/>
      <c r="E162" s="39"/>
      <c r="F162" s="39"/>
      <c r="G162" s="39"/>
      <c r="H162" s="39">
        <f t="shared" si="9"/>
        <v>0</v>
      </c>
    </row>
    <row r="163" spans="1:8">
      <c r="A163" s="10" t="s">
        <v>452</v>
      </c>
      <c r="B163" s="10" t="s">
        <v>453</v>
      </c>
      <c r="C163" s="39">
        <f>100*10</f>
        <v>1000</v>
      </c>
      <c r="D163" s="39"/>
      <c r="E163" s="39"/>
      <c r="F163" s="39"/>
      <c r="G163" s="39"/>
      <c r="H163" s="39">
        <f>+SUM(C163:G163)</f>
        <v>1000</v>
      </c>
    </row>
    <row r="164" spans="1:8">
      <c r="A164" s="10" t="s">
        <v>76</v>
      </c>
      <c r="B164" s="10" t="s">
        <v>155</v>
      </c>
      <c r="C164" s="39"/>
      <c r="D164" s="39">
        <f ca="1">147000/625*SUM!B5</f>
        <v>149352</v>
      </c>
      <c r="E164" s="39">
        <f ca="1">147000/625*SUM!B6</f>
        <v>42100.799999999996</v>
      </c>
      <c r="F164" s="39">
        <f ca="1">147000/625*SUM!B7</f>
        <v>72676.800000000003</v>
      </c>
      <c r="G164" s="39"/>
      <c r="H164" s="39">
        <f t="shared" si="9"/>
        <v>264129.59999999998</v>
      </c>
    </row>
    <row r="165" spans="1:8">
      <c r="A165" s="10" t="s">
        <v>79</v>
      </c>
      <c r="B165" s="10" t="s">
        <v>156</v>
      </c>
      <c r="C165" s="39"/>
      <c r="D165" s="39">
        <v>2000</v>
      </c>
      <c r="E165" s="39">
        <v>300</v>
      </c>
      <c r="F165" s="39">
        <v>350</v>
      </c>
      <c r="G165" s="39"/>
      <c r="H165" s="39">
        <f t="shared" si="9"/>
        <v>2650</v>
      </c>
    </row>
    <row r="166" spans="1:8">
      <c r="A166" s="10" t="s">
        <v>78</v>
      </c>
      <c r="B166" s="10" t="s">
        <v>157</v>
      </c>
      <c r="C166" s="39"/>
      <c r="D166" s="39">
        <f>100*10</f>
        <v>1000</v>
      </c>
      <c r="E166" s="39">
        <v>150</v>
      </c>
      <c r="F166" s="39">
        <v>200</v>
      </c>
      <c r="G166" s="39"/>
      <c r="H166" s="39">
        <f t="shared" si="9"/>
        <v>1350</v>
      </c>
    </row>
    <row r="167" spans="1:8">
      <c r="A167" s="10" t="s">
        <v>77</v>
      </c>
      <c r="B167" s="10" t="s">
        <v>158</v>
      </c>
      <c r="C167" s="39"/>
      <c r="D167" s="39"/>
      <c r="E167" s="39"/>
      <c r="F167" s="39"/>
      <c r="G167" s="39"/>
      <c r="H167" s="39">
        <f t="shared" si="9"/>
        <v>0</v>
      </c>
    </row>
    <row r="168" spans="1:8">
      <c r="A168" s="10" t="s">
        <v>80</v>
      </c>
      <c r="B168" s="10" t="s">
        <v>159</v>
      </c>
      <c r="C168" s="39"/>
      <c r="D168" s="39"/>
      <c r="E168" s="39"/>
      <c r="F168" s="39"/>
      <c r="G168" s="39"/>
      <c r="H168" s="39">
        <f t="shared" si="9"/>
        <v>0</v>
      </c>
    </row>
    <row r="169" spans="1:8">
      <c r="A169" s="10" t="s">
        <v>81</v>
      </c>
      <c r="B169" s="10" t="s">
        <v>160</v>
      </c>
      <c r="C169" s="39"/>
      <c r="D169" s="39"/>
      <c r="E169" s="39"/>
      <c r="F169" s="39"/>
      <c r="G169" s="39"/>
      <c r="H169" s="39">
        <f t="shared" si="9"/>
        <v>0</v>
      </c>
    </row>
    <row r="170" spans="1:8">
      <c r="A170" s="10" t="s">
        <v>161</v>
      </c>
      <c r="B170" s="10" t="s">
        <v>162</v>
      </c>
      <c r="C170" s="40"/>
      <c r="D170" s="40"/>
      <c r="E170" s="40"/>
      <c r="F170" s="40"/>
      <c r="G170" s="39"/>
      <c r="H170" s="40">
        <f t="shared" si="9"/>
        <v>0</v>
      </c>
    </row>
    <row r="171" spans="1:8">
      <c r="B171" s="10" t="s">
        <v>163</v>
      </c>
      <c r="C171" s="39">
        <f>SUM(C158:C170)</f>
        <v>5500</v>
      </c>
      <c r="D171" s="39">
        <f>SUM(D158:D170)</f>
        <v>169632</v>
      </c>
      <c r="E171" s="39">
        <f>SUM(E158:E170)</f>
        <v>48454.799999999996</v>
      </c>
      <c r="F171" s="39">
        <f>SUM(F158:F170)</f>
        <v>87126</v>
      </c>
      <c r="G171" s="39"/>
      <c r="H171" s="39">
        <f>SUM(H158:H170)</f>
        <v>310712.8</v>
      </c>
    </row>
    <row r="172" spans="1:8">
      <c r="C172" s="39"/>
      <c r="D172" s="39"/>
      <c r="E172" s="39"/>
      <c r="F172" s="39"/>
      <c r="G172" s="39"/>
    </row>
    <row r="173" spans="1:8">
      <c r="A173" s="10" t="s">
        <v>164</v>
      </c>
      <c r="C173" s="39"/>
      <c r="D173" s="39"/>
      <c r="E173" s="39"/>
      <c r="F173" s="39"/>
      <c r="G173" s="39"/>
    </row>
    <row r="174" spans="1:8">
      <c r="A174" s="10" t="s">
        <v>165</v>
      </c>
      <c r="C174" s="39"/>
      <c r="D174" s="39"/>
      <c r="E174" s="39"/>
      <c r="F174" s="39"/>
      <c r="G174" s="39"/>
    </row>
    <row r="175" spans="1:8">
      <c r="A175" s="10" t="s">
        <v>86</v>
      </c>
      <c r="B175" s="10" t="s">
        <v>85</v>
      </c>
      <c r="C175" s="39">
        <v>113</v>
      </c>
      <c r="D175" s="39"/>
      <c r="E175" s="39"/>
      <c r="F175" s="39"/>
      <c r="G175" s="39"/>
      <c r="H175" s="39">
        <f t="shared" ref="H175:H185" si="10">+SUM(C175:G175)</f>
        <v>113</v>
      </c>
    </row>
    <row r="176" spans="1:8">
      <c r="A176" s="10" t="s">
        <v>91</v>
      </c>
      <c r="B176" s="10" t="s">
        <v>92</v>
      </c>
      <c r="C176" s="39"/>
      <c r="D176" s="39"/>
      <c r="E176" s="39"/>
      <c r="F176" s="39"/>
      <c r="G176" s="39"/>
      <c r="H176" s="39">
        <f t="shared" si="10"/>
        <v>0</v>
      </c>
    </row>
    <row r="177" spans="1:8">
      <c r="A177" s="10" t="s">
        <v>93</v>
      </c>
      <c r="B177" s="10" t="s">
        <v>432</v>
      </c>
      <c r="C177" s="39">
        <v>22000</v>
      </c>
      <c r="D177" s="39"/>
      <c r="E177" s="39"/>
      <c r="F177" s="39"/>
      <c r="G177" s="39"/>
      <c r="H177" s="39">
        <f t="shared" si="10"/>
        <v>22000</v>
      </c>
    </row>
    <row r="178" spans="1:8">
      <c r="A178" s="10" t="s">
        <v>95</v>
      </c>
      <c r="B178" s="10" t="s">
        <v>431</v>
      </c>
      <c r="C178" s="39"/>
      <c r="D178" s="39"/>
      <c r="E178" s="39"/>
      <c r="F178" s="39"/>
      <c r="G178" s="39"/>
      <c r="H178" s="39">
        <f t="shared" si="10"/>
        <v>0</v>
      </c>
    </row>
    <row r="179" spans="1:8">
      <c r="A179" s="10" t="s">
        <v>96</v>
      </c>
      <c r="B179" s="10" t="s">
        <v>97</v>
      </c>
      <c r="C179" s="39"/>
      <c r="D179" s="39"/>
      <c r="E179" s="39"/>
      <c r="F179" s="39"/>
      <c r="G179" s="39"/>
      <c r="H179" s="39">
        <f t="shared" si="10"/>
        <v>0</v>
      </c>
    </row>
    <row r="180" spans="1:8">
      <c r="A180" s="10" t="s">
        <v>98</v>
      </c>
      <c r="B180" s="10" t="s">
        <v>99</v>
      </c>
      <c r="C180" s="39"/>
      <c r="D180" s="39"/>
      <c r="E180" s="39"/>
      <c r="F180" s="39"/>
      <c r="G180" s="39"/>
      <c r="H180" s="39">
        <f t="shared" si="10"/>
        <v>0</v>
      </c>
    </row>
    <row r="181" spans="1:8">
      <c r="A181" s="10" t="s">
        <v>100</v>
      </c>
      <c r="B181" s="10" t="s">
        <v>287</v>
      </c>
      <c r="C181" s="39"/>
      <c r="D181" s="39"/>
      <c r="E181" s="39"/>
      <c r="F181" s="39"/>
      <c r="G181" s="39"/>
      <c r="H181" s="39">
        <f t="shared" si="10"/>
        <v>0</v>
      </c>
    </row>
    <row r="182" spans="1:8">
      <c r="A182" s="10" t="s">
        <v>101</v>
      </c>
      <c r="B182" s="10" t="s">
        <v>102</v>
      </c>
      <c r="C182" s="39"/>
      <c r="D182" s="39"/>
      <c r="E182" s="39"/>
      <c r="F182" s="39"/>
      <c r="G182" s="39"/>
      <c r="H182" s="39">
        <f t="shared" si="10"/>
        <v>0</v>
      </c>
    </row>
    <row r="183" spans="1:8">
      <c r="A183" s="10" t="s">
        <v>105</v>
      </c>
      <c r="B183" s="10" t="s">
        <v>167</v>
      </c>
      <c r="C183" s="39"/>
      <c r="D183" s="39"/>
      <c r="E183" s="39"/>
      <c r="F183" s="39"/>
      <c r="G183" s="39"/>
      <c r="H183" s="39">
        <f t="shared" si="10"/>
        <v>0</v>
      </c>
    </row>
    <row r="184" spans="1:8">
      <c r="A184" s="10" t="s">
        <v>106</v>
      </c>
      <c r="B184" s="10" t="s">
        <v>107</v>
      </c>
      <c r="C184" s="39"/>
      <c r="D184" s="39"/>
      <c r="E184" s="39"/>
      <c r="F184" s="39"/>
      <c r="G184" s="39"/>
      <c r="H184" s="39">
        <f>+SUM(C184:G184)</f>
        <v>0</v>
      </c>
    </row>
    <row r="185" spans="1:8">
      <c r="A185" s="10" t="s">
        <v>465</v>
      </c>
      <c r="B185" s="10" t="s">
        <v>466</v>
      </c>
      <c r="C185" s="40"/>
      <c r="D185" s="40"/>
      <c r="E185" s="40"/>
      <c r="F185" s="40"/>
      <c r="G185" s="39"/>
      <c r="H185" s="40">
        <f t="shared" si="10"/>
        <v>0</v>
      </c>
    </row>
    <row r="186" spans="1:8">
      <c r="B186" s="10" t="s">
        <v>168</v>
      </c>
      <c r="C186" s="39">
        <f>SUM(C175:C185)</f>
        <v>22113</v>
      </c>
      <c r="D186" s="39">
        <f>SUM(D175:D185)</f>
        <v>0</v>
      </c>
      <c r="E186" s="39">
        <f>SUM(E175:E185)</f>
        <v>0</v>
      </c>
      <c r="F186" s="39">
        <f>SUM(F175:F185)</f>
        <v>0</v>
      </c>
      <c r="G186" s="39"/>
      <c r="H186" s="39">
        <f>SUM(H175:H185)</f>
        <v>22113</v>
      </c>
    </row>
    <row r="187" spans="1:8">
      <c r="C187" s="39"/>
      <c r="D187" s="39"/>
      <c r="E187" s="39"/>
      <c r="F187" s="39"/>
      <c r="G187" s="39"/>
    </row>
    <row r="188" spans="1:8" s="4" customFormat="1" ht="10.5">
      <c r="A188" s="14"/>
      <c r="B188" s="14" t="s">
        <v>169</v>
      </c>
      <c r="C188" s="41">
        <f>+C122+C133+C141+C150+C155+C171+C186</f>
        <v>34126.6</v>
      </c>
      <c r="D188" s="41">
        <f>+D122+D133+D141+D150+D155+D171+D186</f>
        <v>175507</v>
      </c>
      <c r="E188" s="41">
        <f>+E122+E133+E141+E150+E155+E171+E186</f>
        <v>50194.799999999996</v>
      </c>
      <c r="F188" s="41">
        <f>+F122+F133+F141+F150+F155+F171+F186</f>
        <v>88186</v>
      </c>
      <c r="G188" s="41"/>
      <c r="H188" s="41">
        <f>+SUM(C188:G188)</f>
        <v>348014.4</v>
      </c>
    </row>
    <row r="189" spans="1:8">
      <c r="C189" s="39"/>
      <c r="D189" s="39"/>
      <c r="E189" s="39"/>
      <c r="F189" s="39"/>
      <c r="G189" s="39"/>
    </row>
    <row r="190" spans="1:8">
      <c r="C190" s="39"/>
      <c r="D190" s="39"/>
      <c r="E190" s="39"/>
      <c r="F190" s="39"/>
      <c r="G190" s="39"/>
    </row>
    <row r="191" spans="1:8" s="4" customFormat="1" ht="10.5">
      <c r="A191" s="49">
        <f>+SUM(C191:G191)</f>
        <v>-104478.20626713536</v>
      </c>
      <c r="B191" s="14" t="s">
        <v>170</v>
      </c>
      <c r="C191" s="41">
        <f>+C68-C104-C188</f>
        <v>-96534.540597333369</v>
      </c>
      <c r="D191" s="41">
        <f>+D68-D104-D188</f>
        <v>-2600.9639874999993</v>
      </c>
      <c r="E191" s="41">
        <f>+E68-E104-E188</f>
        <v>-20736.954428399993</v>
      </c>
      <c r="F191" s="41">
        <f>+F68-F104-F188</f>
        <v>15394.252746098005</v>
      </c>
      <c r="G191" s="41"/>
      <c r="H191" s="41">
        <f>+SUM(C191:G191)</f>
        <v>-104478.20626713536</v>
      </c>
    </row>
  </sheetData>
  <phoneticPr fontId="3" type="noConversion"/>
  <pageMargins left="0.17" right="0.17" top="1.38" bottom="0.46" header="0.17" footer="0.17"/>
  <pageSetup orientation="portrait" r:id="rId1"/>
  <headerFooter alignWithMargins="0">
    <oddHeader>&amp;C&amp;"MS Sans Serif,Bold"&amp;18ISL
BUDGET '12-2013
FOOD SERVICE
&amp;A</oddHeader>
    <oddFooter>&amp;L&amp;6&amp;Z&amp;F&amp;R&amp;P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19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51" sqref="E51"/>
    </sheetView>
  </sheetViews>
  <sheetFormatPr defaultColWidth="11.42578125" defaultRowHeight="11.25"/>
  <cols>
    <col min="1" max="1" width="16.28515625" style="10" customWidth="1"/>
    <col min="2" max="2" width="26.85546875" style="10" customWidth="1"/>
    <col min="3" max="16384" width="11.42578125" style="1"/>
  </cols>
  <sheetData>
    <row r="5" spans="1:3">
      <c r="B5" s="11"/>
    </row>
    <row r="7" spans="1:3" s="8" customFormat="1">
      <c r="A7" s="12"/>
      <c r="B7" s="12" t="s">
        <v>371</v>
      </c>
      <c r="C7" s="62">
        <v>2</v>
      </c>
    </row>
    <row r="9" spans="1:3">
      <c r="C9" s="1" t="s">
        <v>186</v>
      </c>
    </row>
    <row r="10" spans="1:3" s="7" customFormat="1">
      <c r="A10" s="13"/>
      <c r="B10" s="13" t="s">
        <v>174</v>
      </c>
      <c r="C10" s="7">
        <v>2830</v>
      </c>
    </row>
    <row r="11" spans="1:3">
      <c r="A11" s="10" t="s">
        <v>271</v>
      </c>
    </row>
    <row r="12" spans="1:3">
      <c r="A12" s="10" t="s">
        <v>272</v>
      </c>
    </row>
    <row r="13" spans="1:3">
      <c r="A13" s="10" t="s">
        <v>171</v>
      </c>
      <c r="B13" s="10" t="s">
        <v>273</v>
      </c>
    </row>
    <row r="14" spans="1:3">
      <c r="A14" s="10" t="s">
        <v>172</v>
      </c>
      <c r="B14" s="10" t="s">
        <v>274</v>
      </c>
    </row>
    <row r="15" spans="1:3">
      <c r="A15" s="10" t="s">
        <v>173</v>
      </c>
      <c r="B15" s="10" t="s">
        <v>275</v>
      </c>
    </row>
    <row r="16" spans="1:3">
      <c r="A16" s="10" t="s">
        <v>194</v>
      </c>
      <c r="B16" s="10" t="s">
        <v>276</v>
      </c>
    </row>
    <row r="17" spans="1:2">
      <c r="A17" s="10" t="s">
        <v>195</v>
      </c>
      <c r="B17" s="10" t="s">
        <v>277</v>
      </c>
    </row>
    <row r="18" spans="1:2">
      <c r="A18" s="10" t="s">
        <v>196</v>
      </c>
      <c r="B18" s="10" t="s">
        <v>278</v>
      </c>
    </row>
    <row r="19" spans="1:2">
      <c r="A19" s="10" t="s">
        <v>197</v>
      </c>
      <c r="B19" s="10" t="s">
        <v>279</v>
      </c>
    </row>
    <row r="20" spans="1:2">
      <c r="A20" s="10" t="s">
        <v>198</v>
      </c>
      <c r="B20" s="10" t="s">
        <v>280</v>
      </c>
    </row>
    <row r="21" spans="1:2">
      <c r="A21" s="10" t="s">
        <v>199</v>
      </c>
      <c r="B21" s="10" t="s">
        <v>281</v>
      </c>
    </row>
    <row r="22" spans="1:2">
      <c r="A22" s="10" t="s">
        <v>200</v>
      </c>
      <c r="B22" s="10" t="s">
        <v>282</v>
      </c>
    </row>
    <row r="23" spans="1:2">
      <c r="A23" s="10" t="s">
        <v>201</v>
      </c>
      <c r="B23" s="10" t="s">
        <v>283</v>
      </c>
    </row>
    <row r="24" spans="1:2">
      <c r="A24" s="10" t="s">
        <v>202</v>
      </c>
      <c r="B24" s="10" t="s">
        <v>284</v>
      </c>
    </row>
    <row r="25" spans="1:2">
      <c r="A25" s="10" t="s">
        <v>203</v>
      </c>
      <c r="B25" s="10" t="s">
        <v>285</v>
      </c>
    </row>
    <row r="26" spans="1:2">
      <c r="A26" s="10" t="s">
        <v>204</v>
      </c>
      <c r="B26" s="10" t="s">
        <v>286</v>
      </c>
    </row>
    <row r="27" spans="1:2">
      <c r="A27" s="10" t="s">
        <v>205</v>
      </c>
      <c r="B27" s="10" t="s">
        <v>287</v>
      </c>
    </row>
    <row r="28" spans="1:2">
      <c r="A28" s="10" t="s">
        <v>206</v>
      </c>
      <c r="B28" s="10" t="s">
        <v>288</v>
      </c>
    </row>
    <row r="29" spans="1:2">
      <c r="A29" s="10" t="s">
        <v>207</v>
      </c>
      <c r="B29" s="10" t="s">
        <v>289</v>
      </c>
    </row>
    <row r="30" spans="1:2">
      <c r="A30" s="10" t="s">
        <v>209</v>
      </c>
      <c r="B30" s="10" t="s">
        <v>290</v>
      </c>
    </row>
    <row r="31" spans="1:2">
      <c r="A31" s="10" t="s">
        <v>208</v>
      </c>
      <c r="B31" s="10" t="s">
        <v>291</v>
      </c>
    </row>
    <row r="32" spans="1:2">
      <c r="A32" s="10" t="s">
        <v>210</v>
      </c>
      <c r="B32" s="10" t="s">
        <v>211</v>
      </c>
    </row>
    <row r="33" spans="1:3">
      <c r="A33" s="10" t="s">
        <v>214</v>
      </c>
      <c r="B33" s="10" t="s">
        <v>215</v>
      </c>
    </row>
    <row r="34" spans="1:3">
      <c r="A34" s="10" t="s">
        <v>213</v>
      </c>
      <c r="B34" s="10" t="s">
        <v>292</v>
      </c>
    </row>
    <row r="35" spans="1:3">
      <c r="A35" s="10" t="s">
        <v>212</v>
      </c>
      <c r="B35" s="10" t="s">
        <v>293</v>
      </c>
    </row>
    <row r="36" spans="1:3">
      <c r="A36" s="10" t="s">
        <v>216</v>
      </c>
      <c r="B36" s="10" t="s">
        <v>294</v>
      </c>
    </row>
    <row r="37" spans="1:3">
      <c r="A37" s="10" t="s">
        <v>217</v>
      </c>
      <c r="B37" s="10" t="s">
        <v>295</v>
      </c>
      <c r="C37" s="6"/>
    </row>
    <row r="38" spans="1:3">
      <c r="B38" s="10" t="s">
        <v>296</v>
      </c>
      <c r="C38" s="1">
        <f>SUM(C13:C37)</f>
        <v>0</v>
      </c>
    </row>
    <row r="40" spans="1:3">
      <c r="A40" s="10" t="s">
        <v>297</v>
      </c>
    </row>
    <row r="41" spans="1:3">
      <c r="A41" s="10" t="s">
        <v>218</v>
      </c>
      <c r="B41" s="10" t="s">
        <v>298</v>
      </c>
    </row>
    <row r="42" spans="1:3">
      <c r="A42" s="10" t="s">
        <v>219</v>
      </c>
      <c r="B42" s="10" t="s">
        <v>220</v>
      </c>
    </row>
    <row r="43" spans="1:3">
      <c r="A43" s="10" t="s">
        <v>221</v>
      </c>
      <c r="B43" s="10" t="s">
        <v>222</v>
      </c>
    </row>
    <row r="44" spans="1:3">
      <c r="A44" s="10" t="s">
        <v>223</v>
      </c>
      <c r="B44" s="10" t="s">
        <v>299</v>
      </c>
    </row>
    <row r="45" spans="1:3">
      <c r="A45" s="10" t="s">
        <v>224</v>
      </c>
      <c r="B45" s="10" t="s">
        <v>225</v>
      </c>
    </row>
    <row r="46" spans="1:3">
      <c r="A46" s="10" t="s">
        <v>226</v>
      </c>
      <c r="B46" s="10" t="s">
        <v>227</v>
      </c>
    </row>
    <row r="47" spans="1:3">
      <c r="A47" s="10" t="s">
        <v>228</v>
      </c>
      <c r="B47" s="10" t="s">
        <v>300</v>
      </c>
    </row>
    <row r="48" spans="1:3">
      <c r="A48" s="10" t="s">
        <v>229</v>
      </c>
      <c r="B48" s="10" t="s">
        <v>301</v>
      </c>
      <c r="C48" s="6"/>
    </row>
    <row r="49" spans="1:3">
      <c r="B49" s="10" t="s">
        <v>302</v>
      </c>
      <c r="C49" s="1">
        <f>SUM(C41:C48)</f>
        <v>0</v>
      </c>
    </row>
    <row r="51" spans="1:3">
      <c r="A51" s="10" t="s">
        <v>303</v>
      </c>
    </row>
    <row r="52" spans="1:3">
      <c r="A52" s="10" t="s">
        <v>304</v>
      </c>
    </row>
    <row r="53" spans="1:3">
      <c r="A53" s="10" t="s">
        <v>230</v>
      </c>
      <c r="B53" s="10" t="s">
        <v>407</v>
      </c>
    </row>
    <row r="54" spans="1:3">
      <c r="A54" s="10" t="s">
        <v>231</v>
      </c>
      <c r="B54" s="10" t="s">
        <v>408</v>
      </c>
    </row>
    <row r="55" spans="1:3">
      <c r="A55" s="10" t="s">
        <v>232</v>
      </c>
      <c r="B55" s="10" t="s">
        <v>409</v>
      </c>
    </row>
    <row r="56" spans="1:3">
      <c r="A56" s="10" t="s">
        <v>233</v>
      </c>
      <c r="B56" s="10" t="s">
        <v>305</v>
      </c>
    </row>
    <row r="57" spans="1:3">
      <c r="A57" s="10" t="s">
        <v>234</v>
      </c>
      <c r="B57" s="10" t="s">
        <v>306</v>
      </c>
    </row>
    <row r="58" spans="1:3">
      <c r="A58" s="10" t="s">
        <v>0</v>
      </c>
      <c r="B58" s="10" t="s">
        <v>307</v>
      </c>
    </row>
    <row r="59" spans="1:3">
      <c r="A59" s="10" t="s">
        <v>1</v>
      </c>
      <c r="B59" s="10" t="s">
        <v>308</v>
      </c>
    </row>
    <row r="60" spans="1:3">
      <c r="A60" s="10" t="s">
        <v>3</v>
      </c>
      <c r="B60" s="10" t="s">
        <v>2</v>
      </c>
    </row>
    <row r="61" spans="1:3">
      <c r="A61" s="10" t="s">
        <v>4</v>
      </c>
      <c r="B61" s="10" t="s">
        <v>5</v>
      </c>
    </row>
    <row r="62" spans="1:3">
      <c r="A62" s="10" t="s">
        <v>6</v>
      </c>
      <c r="B62" s="10" t="s">
        <v>7</v>
      </c>
    </row>
    <row r="63" spans="1:3">
      <c r="A63" s="10" t="s">
        <v>8</v>
      </c>
      <c r="B63" s="10" t="s">
        <v>9</v>
      </c>
    </row>
    <row r="64" spans="1:3">
      <c r="A64" s="10" t="s">
        <v>11</v>
      </c>
      <c r="B64" s="10" t="s">
        <v>310</v>
      </c>
    </row>
    <row r="65" spans="1:3">
      <c r="A65" s="10" t="s">
        <v>10</v>
      </c>
      <c r="B65" s="10" t="s">
        <v>309</v>
      </c>
      <c r="C65" s="6"/>
    </row>
    <row r="66" spans="1:3">
      <c r="B66" s="10" t="s">
        <v>311</v>
      </c>
      <c r="C66" s="1">
        <f>SUM(C53:C65)</f>
        <v>0</v>
      </c>
    </row>
    <row r="68" spans="1:3" s="4" customFormat="1" ht="10.5">
      <c r="A68" s="14"/>
      <c r="B68" s="14" t="s">
        <v>312</v>
      </c>
      <c r="C68" s="4">
        <f>SUM(C38+C49+C66)</f>
        <v>0</v>
      </c>
    </row>
    <row r="70" spans="1:3">
      <c r="A70" s="10" t="s">
        <v>313</v>
      </c>
    </row>
    <row r="71" spans="1:3">
      <c r="A71" s="10" t="s">
        <v>314</v>
      </c>
    </row>
    <row r="72" spans="1:3">
      <c r="A72" s="10" t="s">
        <v>19</v>
      </c>
      <c r="B72" s="10" t="s">
        <v>323</v>
      </c>
      <c r="C72" s="23">
        <f ca="1">SUM('12-2013 Ret Emp'!I80)</f>
        <v>69870.603994056059</v>
      </c>
    </row>
    <row r="73" spans="1:3">
      <c r="A73" s="10" t="s">
        <v>12</v>
      </c>
      <c r="B73" s="10" t="s">
        <v>315</v>
      </c>
      <c r="C73" s="23"/>
    </row>
    <row r="74" spans="1:3">
      <c r="A74" s="10" t="s">
        <v>13</v>
      </c>
      <c r="B74" s="10" t="s">
        <v>316</v>
      </c>
      <c r="C74" s="23"/>
    </row>
    <row r="75" spans="1:3">
      <c r="A75" s="10" t="s">
        <v>14</v>
      </c>
      <c r="B75" s="10" t="s">
        <v>317</v>
      </c>
      <c r="C75" s="23"/>
    </row>
    <row r="76" spans="1:3">
      <c r="A76" s="10" t="s">
        <v>15</v>
      </c>
      <c r="B76" s="10" t="s">
        <v>318</v>
      </c>
      <c r="C76" s="23"/>
    </row>
    <row r="77" spans="1:3">
      <c r="A77" s="10" t="s">
        <v>16</v>
      </c>
      <c r="B77" s="10" t="s">
        <v>319</v>
      </c>
      <c r="C77" s="23">
        <f ca="1">SUM('12-2013 Ret Emp'!I81*2080)</f>
        <v>26780</v>
      </c>
    </row>
    <row r="78" spans="1:3">
      <c r="A78" s="10" t="s">
        <v>17</v>
      </c>
      <c r="B78" s="10" t="s">
        <v>320</v>
      </c>
      <c r="C78" s="23"/>
    </row>
    <row r="79" spans="1:3" ht="14.25" customHeight="1">
      <c r="A79" s="10" t="s">
        <v>18</v>
      </c>
      <c r="B79" s="10" t="s">
        <v>322</v>
      </c>
      <c r="C79" s="22"/>
    </row>
    <row r="80" spans="1:3">
      <c r="B80" s="10" t="s">
        <v>24</v>
      </c>
      <c r="C80" s="23">
        <f>SUM(C72:C79)</f>
        <v>96650.603994056059</v>
      </c>
    </row>
    <row r="81" spans="1:3">
      <c r="C81" s="23"/>
    </row>
    <row r="82" spans="1:3">
      <c r="C82" s="23"/>
    </row>
    <row r="83" spans="1:3">
      <c r="A83" s="10" t="s">
        <v>325</v>
      </c>
      <c r="C83" s="23"/>
    </row>
    <row r="84" spans="1:3">
      <c r="A84" s="10" t="s">
        <v>20</v>
      </c>
      <c r="B84" s="10" t="s">
        <v>324</v>
      </c>
      <c r="C84" s="23"/>
    </row>
    <row r="85" spans="1:3">
      <c r="A85" s="10" t="s">
        <v>21</v>
      </c>
      <c r="B85" s="10" t="s">
        <v>325</v>
      </c>
      <c r="C85" s="23"/>
    </row>
    <row r="86" spans="1:3">
      <c r="A86" s="10" t="s">
        <v>440</v>
      </c>
      <c r="B86" s="10" t="s">
        <v>441</v>
      </c>
      <c r="C86" s="23">
        <v>4000</v>
      </c>
    </row>
    <row r="87" spans="1:3">
      <c r="A87" s="10" t="s">
        <v>22</v>
      </c>
      <c r="B87" s="10" t="s">
        <v>23</v>
      </c>
      <c r="C87" s="22"/>
    </row>
    <row r="88" spans="1:3">
      <c r="B88" s="10" t="s">
        <v>326</v>
      </c>
      <c r="C88" s="23">
        <f>SUM(C84:C87)</f>
        <v>4000</v>
      </c>
    </row>
    <row r="89" spans="1:3">
      <c r="C89" s="23"/>
    </row>
    <row r="90" spans="1:3">
      <c r="B90" s="10" t="s">
        <v>327</v>
      </c>
      <c r="C90" s="23">
        <f>SUM(C80+C88)</f>
        <v>100650.60399405606</v>
      </c>
    </row>
    <row r="91" spans="1:3">
      <c r="C91" s="23"/>
    </row>
    <row r="92" spans="1:3">
      <c r="A92" s="10" t="s">
        <v>328</v>
      </c>
      <c r="C92" s="23"/>
    </row>
    <row r="93" spans="1:3">
      <c r="A93" s="10" t="s">
        <v>25</v>
      </c>
      <c r="B93" s="10" t="s">
        <v>33</v>
      </c>
      <c r="C93" s="23">
        <f>+C$7*139.64*2*1.05*12</f>
        <v>7037.8559999999998</v>
      </c>
    </row>
    <row r="94" spans="1:3">
      <c r="A94" s="10" t="s">
        <v>26</v>
      </c>
      <c r="B94" s="10" t="s">
        <v>34</v>
      </c>
      <c r="C94" s="23">
        <f>+C$7*8.74*2*1.02*12</f>
        <v>427.91039999999998</v>
      </c>
    </row>
    <row r="95" spans="1:3">
      <c r="A95" s="10" t="s">
        <v>28</v>
      </c>
      <c r="B95" s="10" t="s">
        <v>27</v>
      </c>
      <c r="C95" s="23">
        <f>(+C$88-C$84+C$80)*0.062</f>
        <v>6240.3374476314757</v>
      </c>
    </row>
    <row r="96" spans="1:3">
      <c r="A96" s="10" t="s">
        <v>30</v>
      </c>
      <c r="B96" s="10" t="s">
        <v>29</v>
      </c>
      <c r="C96" s="23">
        <f>(+C$88-C$84+C$80)*0.0145</f>
        <v>1459.433757913813</v>
      </c>
    </row>
    <row r="97" spans="1:3">
      <c r="A97" s="10" t="s">
        <v>31</v>
      </c>
      <c r="B97" s="10" t="s">
        <v>32</v>
      </c>
      <c r="C97" s="23">
        <f>(+C$88-C$84+C$80)*0.06</f>
        <v>6039.0362396433629</v>
      </c>
    </row>
    <row r="98" spans="1:3">
      <c r="A98" s="10" t="s">
        <v>36</v>
      </c>
      <c r="B98" s="10" t="s">
        <v>35</v>
      </c>
      <c r="C98" s="23">
        <f>(+C$88-C$84+C$80)*0.0056</f>
        <v>563.64338236671392</v>
      </c>
    </row>
    <row r="99" spans="1:3">
      <c r="A99" s="10" t="s">
        <v>38</v>
      </c>
      <c r="B99" s="10" t="s">
        <v>37</v>
      </c>
      <c r="C99" s="23">
        <f>+C$7*7700*0.0201</f>
        <v>309.54000000000002</v>
      </c>
    </row>
    <row r="100" spans="1:3">
      <c r="A100" s="10" t="s">
        <v>83</v>
      </c>
      <c r="B100" s="10" t="s">
        <v>84</v>
      </c>
      <c r="C100" s="23">
        <v>1200</v>
      </c>
    </row>
    <row r="101" spans="1:3">
      <c r="A101" s="10" t="s">
        <v>39</v>
      </c>
      <c r="B101" s="10" t="s">
        <v>40</v>
      </c>
      <c r="C101" s="22">
        <f>(+C$88-C$84+C$80)*(0.0024+0.0036+0.0013)</f>
        <v>734.7494091566092</v>
      </c>
    </row>
    <row r="102" spans="1:3">
      <c r="B102" s="10" t="s">
        <v>235</v>
      </c>
      <c r="C102" s="23">
        <f>SUM(C93:C101)</f>
        <v>24012.506636711973</v>
      </c>
    </row>
    <row r="103" spans="1:3">
      <c r="C103" s="23"/>
    </row>
    <row r="104" spans="1:3" s="4" customFormat="1" ht="10.5">
      <c r="A104" s="14"/>
      <c r="B104" s="14" t="s">
        <v>236</v>
      </c>
      <c r="C104" s="42">
        <f>SUM(C90+C102)</f>
        <v>124663.11063076803</v>
      </c>
    </row>
    <row r="105" spans="1:3">
      <c r="C105" s="23"/>
    </row>
    <row r="106" spans="1:3">
      <c r="A106" s="10" t="s">
        <v>237</v>
      </c>
      <c r="C106" s="23"/>
    </row>
    <row r="107" spans="1:3">
      <c r="A107" s="10" t="s">
        <v>238</v>
      </c>
      <c r="C107" s="23"/>
    </row>
    <row r="108" spans="1:3">
      <c r="A108" s="10" t="s">
        <v>51</v>
      </c>
      <c r="B108" s="10" t="s">
        <v>50</v>
      </c>
      <c r="C108" s="23"/>
    </row>
    <row r="109" spans="1:3">
      <c r="A109" s="10" t="s">
        <v>41</v>
      </c>
      <c r="B109" s="10" t="s">
        <v>42</v>
      </c>
      <c r="C109" s="23"/>
    </row>
    <row r="110" spans="1:3">
      <c r="A110" s="10" t="s">
        <v>43</v>
      </c>
      <c r="B110" s="10" t="s">
        <v>239</v>
      </c>
      <c r="C110" s="23">
        <v>3000</v>
      </c>
    </row>
    <row r="111" spans="1:3">
      <c r="A111" s="10" t="s">
        <v>44</v>
      </c>
      <c r="B111" s="10" t="s">
        <v>45</v>
      </c>
      <c r="C111" s="23"/>
    </row>
    <row r="112" spans="1:3">
      <c r="A112" s="10" t="s">
        <v>46</v>
      </c>
      <c r="B112" s="10" t="s">
        <v>240</v>
      </c>
      <c r="C112" s="23">
        <v>7500</v>
      </c>
    </row>
    <row r="113" spans="1:3">
      <c r="A113" s="10" t="s">
        <v>47</v>
      </c>
      <c r="B113" s="10" t="s">
        <v>241</v>
      </c>
      <c r="C113" s="23"/>
    </row>
    <row r="114" spans="1:3">
      <c r="A114" s="10" t="s">
        <v>48</v>
      </c>
      <c r="B114" s="10" t="s">
        <v>49</v>
      </c>
      <c r="C114" s="23"/>
    </row>
    <row r="115" spans="1:3">
      <c r="A115" s="10" t="s">
        <v>82</v>
      </c>
      <c r="B115" s="10" t="s">
        <v>166</v>
      </c>
      <c r="C115" s="23"/>
    </row>
    <row r="116" spans="1:3">
      <c r="A116" s="10" t="s">
        <v>104</v>
      </c>
      <c r="B116" s="10" t="s">
        <v>103</v>
      </c>
      <c r="C116" s="23">
        <v>5000</v>
      </c>
    </row>
    <row r="117" spans="1:3">
      <c r="A117" s="10" t="s">
        <v>59</v>
      </c>
      <c r="B117" s="10" t="s">
        <v>321</v>
      </c>
      <c r="C117" s="23"/>
    </row>
    <row r="118" spans="1:3">
      <c r="A118" s="10" t="s">
        <v>87</v>
      </c>
      <c r="B118" s="10" t="s">
        <v>88</v>
      </c>
      <c r="C118" s="23">
        <v>2500</v>
      </c>
    </row>
    <row r="119" spans="1:3">
      <c r="A119" s="10" t="s">
        <v>89</v>
      </c>
      <c r="B119" s="10" t="s">
        <v>90</v>
      </c>
      <c r="C119" s="23"/>
    </row>
    <row r="120" spans="1:3">
      <c r="A120" s="10" t="s">
        <v>450</v>
      </c>
      <c r="B120" s="10" t="s">
        <v>451</v>
      </c>
      <c r="C120" s="23"/>
    </row>
    <row r="121" spans="1:3">
      <c r="A121" s="10" t="s">
        <v>52</v>
      </c>
      <c r="B121" s="10" t="s">
        <v>53</v>
      </c>
      <c r="C121" s="22"/>
    </row>
    <row r="122" spans="1:3">
      <c r="B122" s="10" t="s">
        <v>242</v>
      </c>
      <c r="C122" s="23">
        <f>SUM(C108:C121)</f>
        <v>18000</v>
      </c>
    </row>
    <row r="123" spans="1:3">
      <c r="C123" s="23"/>
    </row>
    <row r="124" spans="1:3">
      <c r="A124" s="10" t="s">
        <v>243</v>
      </c>
      <c r="C124" s="23"/>
    </row>
    <row r="125" spans="1:3">
      <c r="A125" s="10" t="s">
        <v>56</v>
      </c>
      <c r="B125" s="10" t="s">
        <v>246</v>
      </c>
      <c r="C125" s="23"/>
    </row>
    <row r="126" spans="1:3">
      <c r="A126" s="10" t="s">
        <v>57</v>
      </c>
      <c r="B126" s="10" t="s">
        <v>247</v>
      </c>
      <c r="C126" s="23"/>
    </row>
    <row r="127" spans="1:3">
      <c r="A127" s="10" t="s">
        <v>58</v>
      </c>
      <c r="B127" s="10" t="s">
        <v>248</v>
      </c>
      <c r="C127" s="23"/>
    </row>
    <row r="128" spans="1:3">
      <c r="A128" s="10" t="s">
        <v>55</v>
      </c>
      <c r="B128" s="10" t="s">
        <v>245</v>
      </c>
      <c r="C128" s="23"/>
    </row>
    <row r="129" spans="1:3" ht="10.5" customHeight="1">
      <c r="A129" s="10" t="s">
        <v>54</v>
      </c>
      <c r="B129" s="10" t="s">
        <v>244</v>
      </c>
      <c r="C129" s="23"/>
    </row>
    <row r="130" spans="1:3">
      <c r="A130" s="10" t="s">
        <v>60</v>
      </c>
      <c r="B130" s="10" t="s">
        <v>61</v>
      </c>
      <c r="C130" s="23"/>
    </row>
    <row r="131" spans="1:3">
      <c r="A131" s="10" t="s">
        <v>448</v>
      </c>
      <c r="B131" s="10" t="s">
        <v>449</v>
      </c>
      <c r="C131" s="23"/>
    </row>
    <row r="132" spans="1:3">
      <c r="A132" s="10" t="s">
        <v>62</v>
      </c>
      <c r="B132" s="10" t="s">
        <v>249</v>
      </c>
      <c r="C132" s="22"/>
    </row>
    <row r="133" spans="1:3">
      <c r="B133" s="10" t="s">
        <v>250</v>
      </c>
      <c r="C133" s="23">
        <f>SUM(C125:C132)</f>
        <v>0</v>
      </c>
    </row>
    <row r="134" spans="1:3">
      <c r="C134" s="23"/>
    </row>
    <row r="135" spans="1:3">
      <c r="A135" s="10" t="s">
        <v>251</v>
      </c>
      <c r="C135" s="23"/>
    </row>
    <row r="136" spans="1:3">
      <c r="A136" s="10" t="s">
        <v>252</v>
      </c>
      <c r="C136" s="23"/>
    </row>
    <row r="137" spans="1:3">
      <c r="A137" s="10" t="s">
        <v>63</v>
      </c>
      <c r="B137" s="10" t="s">
        <v>253</v>
      </c>
      <c r="C137" s="23"/>
    </row>
    <row r="138" spans="1:3">
      <c r="A138" s="10" t="s">
        <v>64</v>
      </c>
      <c r="B138" s="10" t="s">
        <v>254</v>
      </c>
      <c r="C138" s="23"/>
    </row>
    <row r="139" spans="1:3">
      <c r="A139" s="10" t="s">
        <v>454</v>
      </c>
      <c r="B139" s="10" t="s">
        <v>455</v>
      </c>
      <c r="C139" s="23"/>
    </row>
    <row r="140" spans="1:3">
      <c r="A140" s="10" t="s">
        <v>65</v>
      </c>
      <c r="B140" s="10" t="s">
        <v>255</v>
      </c>
      <c r="C140" s="22"/>
    </row>
    <row r="141" spans="1:3">
      <c r="B141" s="10" t="s">
        <v>256</v>
      </c>
      <c r="C141" s="23">
        <f>SUM(C137:C140)</f>
        <v>0</v>
      </c>
    </row>
    <row r="142" spans="1:3">
      <c r="C142" s="23"/>
    </row>
    <row r="143" spans="1:3">
      <c r="A143" s="10" t="s">
        <v>257</v>
      </c>
      <c r="C143" s="23"/>
    </row>
    <row r="144" spans="1:3">
      <c r="A144" s="10" t="s">
        <v>66</v>
      </c>
      <c r="B144" s="10" t="s">
        <v>258</v>
      </c>
      <c r="C144" s="23"/>
    </row>
    <row r="145" spans="1:3">
      <c r="A145" s="10" t="s">
        <v>67</v>
      </c>
      <c r="B145" s="10" t="s">
        <v>259</v>
      </c>
      <c r="C145" s="23"/>
    </row>
    <row r="146" spans="1:3">
      <c r="A146" s="10" t="s">
        <v>68</v>
      </c>
      <c r="B146" s="10" t="s">
        <v>260</v>
      </c>
      <c r="C146" s="23">
        <f>55*12*2</f>
        <v>1320</v>
      </c>
    </row>
    <row r="147" spans="1:3">
      <c r="A147" s="10" t="s">
        <v>69</v>
      </c>
      <c r="B147" s="10" t="s">
        <v>261</v>
      </c>
      <c r="C147" s="23"/>
    </row>
    <row r="148" spans="1:3" ht="12" customHeight="1">
      <c r="A148" s="10" t="s">
        <v>70</v>
      </c>
      <c r="B148" s="10" t="s">
        <v>262</v>
      </c>
      <c r="C148" s="23">
        <v>150</v>
      </c>
    </row>
    <row r="149" spans="1:3">
      <c r="A149" s="10" t="s">
        <v>462</v>
      </c>
      <c r="B149" s="10" t="s">
        <v>464</v>
      </c>
      <c r="C149" s="22">
        <v>660</v>
      </c>
    </row>
    <row r="150" spans="1:3">
      <c r="B150" s="10" t="s">
        <v>263</v>
      </c>
      <c r="C150" s="23">
        <f>SUM(C144:C149)</f>
        <v>2130</v>
      </c>
    </row>
    <row r="151" spans="1:3">
      <c r="C151" s="23"/>
    </row>
    <row r="152" spans="1:3">
      <c r="A152" s="10" t="s">
        <v>264</v>
      </c>
      <c r="C152" s="23"/>
    </row>
    <row r="153" spans="1:3">
      <c r="A153" s="10" t="s">
        <v>265</v>
      </c>
      <c r="C153" s="23"/>
    </row>
    <row r="154" spans="1:3">
      <c r="A154" s="10" t="s">
        <v>71</v>
      </c>
      <c r="B154" s="10" t="s">
        <v>72</v>
      </c>
      <c r="C154" s="22">
        <v>2500</v>
      </c>
    </row>
    <row r="155" spans="1:3">
      <c r="B155" s="10" t="s">
        <v>266</v>
      </c>
      <c r="C155" s="23">
        <f>SUM(C154)</f>
        <v>2500</v>
      </c>
    </row>
    <row r="156" spans="1:3">
      <c r="C156" s="23"/>
    </row>
    <row r="157" spans="1:3">
      <c r="A157" s="10" t="s">
        <v>267</v>
      </c>
      <c r="C157" s="23"/>
    </row>
    <row r="158" spans="1:3">
      <c r="A158" s="10" t="s">
        <v>73</v>
      </c>
      <c r="B158" s="10" t="s">
        <v>74</v>
      </c>
      <c r="C158" s="23">
        <v>750</v>
      </c>
    </row>
    <row r="159" spans="1:3">
      <c r="A159" s="10" t="s">
        <v>75</v>
      </c>
      <c r="B159" s="10" t="s">
        <v>154</v>
      </c>
      <c r="C159" s="23"/>
    </row>
    <row r="160" spans="1:3">
      <c r="A160" s="10" t="s">
        <v>456</v>
      </c>
      <c r="B160" s="10" t="s">
        <v>97</v>
      </c>
      <c r="C160" s="23"/>
    </row>
    <row r="161" spans="1:3">
      <c r="A161" s="10" t="s">
        <v>457</v>
      </c>
      <c r="B161" s="10" t="s">
        <v>458</v>
      </c>
      <c r="C161" s="23"/>
    </row>
    <row r="162" spans="1:3">
      <c r="A162" s="10" t="s">
        <v>459</v>
      </c>
      <c r="B162" s="10" t="s">
        <v>460</v>
      </c>
      <c r="C162" s="23">
        <v>2000</v>
      </c>
    </row>
    <row r="163" spans="1:3">
      <c r="A163" s="10" t="s">
        <v>452</v>
      </c>
      <c r="B163" s="10" t="s">
        <v>453</v>
      </c>
      <c r="C163" s="23"/>
    </row>
    <row r="164" spans="1:3">
      <c r="A164" s="10" t="s">
        <v>76</v>
      </c>
      <c r="B164" s="10" t="s">
        <v>155</v>
      </c>
      <c r="C164" s="23"/>
    </row>
    <row r="165" spans="1:3">
      <c r="A165" s="10" t="s">
        <v>79</v>
      </c>
      <c r="B165" s="10" t="s">
        <v>156</v>
      </c>
      <c r="C165" s="23"/>
    </row>
    <row r="166" spans="1:3">
      <c r="A166" s="10" t="s">
        <v>78</v>
      </c>
      <c r="B166" s="10" t="s">
        <v>157</v>
      </c>
      <c r="C166" s="23"/>
    </row>
    <row r="167" spans="1:3">
      <c r="A167" s="10" t="s">
        <v>77</v>
      </c>
      <c r="B167" s="10" t="s">
        <v>158</v>
      </c>
      <c r="C167" s="23"/>
    </row>
    <row r="168" spans="1:3">
      <c r="A168" s="10" t="s">
        <v>80</v>
      </c>
      <c r="B168" s="10" t="s">
        <v>159</v>
      </c>
      <c r="C168" s="23"/>
    </row>
    <row r="169" spans="1:3">
      <c r="A169" s="10" t="s">
        <v>81</v>
      </c>
      <c r="B169" s="10" t="s">
        <v>160</v>
      </c>
      <c r="C169" s="23"/>
    </row>
    <row r="170" spans="1:3">
      <c r="A170" s="10" t="s">
        <v>161</v>
      </c>
      <c r="B170" s="10" t="s">
        <v>162</v>
      </c>
      <c r="C170" s="22"/>
    </row>
    <row r="171" spans="1:3">
      <c r="B171" s="10" t="s">
        <v>163</v>
      </c>
      <c r="C171" s="23">
        <f>SUM(C158:C170)</f>
        <v>2750</v>
      </c>
    </row>
    <row r="172" spans="1:3">
      <c r="C172" s="23"/>
    </row>
    <row r="173" spans="1:3">
      <c r="A173" s="10" t="s">
        <v>164</v>
      </c>
      <c r="C173" s="23"/>
    </row>
    <row r="174" spans="1:3">
      <c r="A174" s="10" t="s">
        <v>165</v>
      </c>
      <c r="C174" s="23"/>
    </row>
    <row r="175" spans="1:3">
      <c r="A175" s="10" t="s">
        <v>86</v>
      </c>
      <c r="B175" s="10" t="s">
        <v>85</v>
      </c>
      <c r="C175" s="23">
        <v>500</v>
      </c>
    </row>
    <row r="176" spans="1:3">
      <c r="A176" s="10" t="s">
        <v>91</v>
      </c>
      <c r="B176" s="10" t="s">
        <v>92</v>
      </c>
      <c r="C176" s="23"/>
    </row>
    <row r="177" spans="1:3">
      <c r="A177" s="10" t="s">
        <v>93</v>
      </c>
      <c r="B177" s="10" t="s">
        <v>94</v>
      </c>
      <c r="C177" s="23"/>
    </row>
    <row r="178" spans="1:3">
      <c r="A178" s="10" t="s">
        <v>95</v>
      </c>
      <c r="B178" s="10" t="s">
        <v>432</v>
      </c>
      <c r="C178" s="23"/>
    </row>
    <row r="179" spans="1:3">
      <c r="A179" s="10" t="s">
        <v>96</v>
      </c>
      <c r="B179" s="10" t="s">
        <v>431</v>
      </c>
      <c r="C179" s="23"/>
    </row>
    <row r="180" spans="1:3">
      <c r="A180" s="10" t="s">
        <v>98</v>
      </c>
      <c r="B180" s="10" t="s">
        <v>99</v>
      </c>
      <c r="C180" s="23"/>
    </row>
    <row r="181" spans="1:3">
      <c r="A181" s="10" t="s">
        <v>100</v>
      </c>
      <c r="B181" s="10" t="s">
        <v>287</v>
      </c>
      <c r="C181" s="23"/>
    </row>
    <row r="182" spans="1:3">
      <c r="A182" s="10" t="s">
        <v>101</v>
      </c>
      <c r="B182" s="10" t="s">
        <v>102</v>
      </c>
      <c r="C182" s="23">
        <v>1000</v>
      </c>
    </row>
    <row r="183" spans="1:3">
      <c r="A183" s="10" t="s">
        <v>105</v>
      </c>
      <c r="B183" s="10" t="s">
        <v>167</v>
      </c>
      <c r="C183" s="23"/>
    </row>
    <row r="184" spans="1:3">
      <c r="A184" s="10" t="s">
        <v>106</v>
      </c>
      <c r="B184" s="10" t="s">
        <v>107</v>
      </c>
      <c r="C184" s="23"/>
    </row>
    <row r="185" spans="1:3">
      <c r="A185" s="10" t="s">
        <v>465</v>
      </c>
      <c r="B185" s="10" t="s">
        <v>466</v>
      </c>
      <c r="C185" s="22"/>
    </row>
    <row r="186" spans="1:3">
      <c r="B186" s="10" t="s">
        <v>168</v>
      </c>
      <c r="C186" s="23">
        <f>SUM(C175:C185)</f>
        <v>1500</v>
      </c>
    </row>
    <row r="187" spans="1:3">
      <c r="C187" s="23"/>
    </row>
    <row r="188" spans="1:3" s="4" customFormat="1" ht="10.5">
      <c r="A188" s="14"/>
      <c r="B188" s="14" t="s">
        <v>169</v>
      </c>
      <c r="C188" s="42">
        <f>+C122+C133+C141+C150+C155+C171+C186</f>
        <v>26880</v>
      </c>
    </row>
    <row r="189" spans="1:3">
      <c r="C189" s="23"/>
    </row>
    <row r="190" spans="1:3">
      <c r="C190" s="23"/>
    </row>
    <row r="191" spans="1:3" s="4" customFormat="1" ht="10.5">
      <c r="A191" s="14">
        <f>+SUM(C191:C191)</f>
        <v>-151543.11063076803</v>
      </c>
      <c r="B191" s="14" t="s">
        <v>170</v>
      </c>
      <c r="C191" s="42">
        <f>+C68-C104-C188</f>
        <v>-151543.11063076803</v>
      </c>
    </row>
  </sheetData>
  <phoneticPr fontId="0" type="noConversion"/>
  <pageMargins left="0.75" right="0.75" top="1.41" bottom="0.43" header="0.17" footer="0.17"/>
  <pageSetup orientation="portrait" r:id="rId1"/>
  <headerFooter alignWithMargins="0">
    <oddHeader>&amp;C&amp;"MS Sans Serif,Bold"&amp;18ISL
BUDGET '12-2013
HUMAN RESOURCES
&amp;A</oddHeader>
    <oddFooter>&amp;L&amp;6&amp;Z&amp;F&amp;R&amp;P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5:H191"/>
  <sheetViews>
    <sheetView workbookViewId="0">
      <pane xSplit="2" ySplit="11" topLeftCell="C138" activePane="bottomRight" state="frozen"/>
      <selection pane="topRight" activeCell="C1" sqref="C1"/>
      <selection pane="bottomLeft" activeCell="A12" sqref="A12"/>
      <selection pane="bottomRight" activeCell="E162" sqref="E162"/>
    </sheetView>
  </sheetViews>
  <sheetFormatPr defaultColWidth="11.42578125" defaultRowHeight="11.25"/>
  <cols>
    <col min="1" max="1" width="16.42578125" style="10" customWidth="1"/>
    <col min="2" max="2" width="30.140625" style="10" customWidth="1"/>
    <col min="3" max="3" width="10.28515625" style="1" customWidth="1"/>
    <col min="4" max="5" width="11.42578125" style="1"/>
    <col min="6" max="6" width="10.85546875" style="1" customWidth="1"/>
    <col min="7" max="7" width="3.42578125" style="1" customWidth="1"/>
    <col min="8" max="8" width="10.140625" style="4" customWidth="1"/>
    <col min="9" max="16384" width="11.42578125" style="1"/>
  </cols>
  <sheetData>
    <row r="5" spans="1:8">
      <c r="B5" s="11"/>
    </row>
    <row r="7" spans="1:8" s="8" customFormat="1">
      <c r="A7" s="12"/>
      <c r="B7" s="12" t="s">
        <v>371</v>
      </c>
      <c r="C7" s="177">
        <v>0.1</v>
      </c>
      <c r="D7" s="177">
        <v>0.4</v>
      </c>
      <c r="E7" s="177">
        <v>0.25</v>
      </c>
      <c r="F7" s="177">
        <v>0.25</v>
      </c>
      <c r="G7" s="164"/>
      <c r="H7" s="171">
        <f>SUM(C7:G7)</f>
        <v>1</v>
      </c>
    </row>
    <row r="8" spans="1:8">
      <c r="C8" s="63" t="s">
        <v>515</v>
      </c>
      <c r="D8" s="63" t="s">
        <v>838</v>
      </c>
      <c r="E8" s="63" t="s">
        <v>839</v>
      </c>
      <c r="F8" s="63" t="s">
        <v>840</v>
      </c>
      <c r="H8" s="169" t="s">
        <v>468</v>
      </c>
    </row>
    <row r="9" spans="1:8">
      <c r="C9" s="63" t="s">
        <v>190</v>
      </c>
      <c r="D9" s="63" t="s">
        <v>190</v>
      </c>
      <c r="E9" s="63" t="s">
        <v>190</v>
      </c>
      <c r="F9" s="63" t="s">
        <v>190</v>
      </c>
      <c r="H9" s="169" t="s">
        <v>373</v>
      </c>
    </row>
    <row r="10" spans="1:8" s="7" customFormat="1">
      <c r="A10" s="13"/>
      <c r="B10" s="13" t="s">
        <v>174</v>
      </c>
      <c r="C10" s="176">
        <v>2840</v>
      </c>
      <c r="D10" s="176">
        <v>2840</v>
      </c>
      <c r="E10" s="176">
        <v>2840</v>
      </c>
      <c r="F10" s="176">
        <v>2840</v>
      </c>
      <c r="H10" s="170"/>
    </row>
    <row r="11" spans="1:8">
      <c r="A11" s="10" t="s">
        <v>271</v>
      </c>
    </row>
    <row r="12" spans="1:8">
      <c r="A12" s="10" t="s">
        <v>272</v>
      </c>
    </row>
    <row r="13" spans="1:8">
      <c r="A13" s="10" t="s">
        <v>171</v>
      </c>
      <c r="B13" s="10" t="s">
        <v>273</v>
      </c>
      <c r="C13" s="39"/>
      <c r="D13" s="39"/>
      <c r="E13" s="39"/>
      <c r="F13" s="39"/>
      <c r="G13" s="39"/>
      <c r="H13" s="41">
        <f t="shared" ref="H13:H37" si="0">+SUM(C13:G13)</f>
        <v>0</v>
      </c>
    </row>
    <row r="14" spans="1:8">
      <c r="A14" s="10" t="s">
        <v>172</v>
      </c>
      <c r="B14" s="10" t="s">
        <v>274</v>
      </c>
      <c r="C14" s="39"/>
      <c r="D14" s="39"/>
      <c r="E14" s="39"/>
      <c r="F14" s="39"/>
      <c r="G14" s="39"/>
      <c r="H14" s="41">
        <f t="shared" si="0"/>
        <v>0</v>
      </c>
    </row>
    <row r="15" spans="1:8">
      <c r="A15" s="10" t="s">
        <v>173</v>
      </c>
      <c r="B15" s="10" t="s">
        <v>275</v>
      </c>
      <c r="C15" s="39"/>
      <c r="D15" s="39"/>
      <c r="E15" s="39"/>
      <c r="F15" s="39"/>
      <c r="G15" s="39"/>
      <c r="H15" s="41">
        <f t="shared" si="0"/>
        <v>0</v>
      </c>
    </row>
    <row r="16" spans="1:8">
      <c r="A16" s="10" t="s">
        <v>194</v>
      </c>
      <c r="B16" s="10" t="s">
        <v>276</v>
      </c>
      <c r="C16" s="39"/>
      <c r="D16" s="39"/>
      <c r="E16" s="39"/>
      <c r="F16" s="39"/>
      <c r="G16" s="39"/>
      <c r="H16" s="41">
        <f t="shared" si="0"/>
        <v>0</v>
      </c>
    </row>
    <row r="17" spans="1:8">
      <c r="A17" s="10" t="s">
        <v>195</v>
      </c>
      <c r="B17" s="10" t="s">
        <v>277</v>
      </c>
      <c r="C17" s="39"/>
      <c r="D17" s="39"/>
      <c r="E17" s="39"/>
      <c r="F17" s="39"/>
      <c r="G17" s="39"/>
      <c r="H17" s="41">
        <f t="shared" si="0"/>
        <v>0</v>
      </c>
    </row>
    <row r="18" spans="1:8">
      <c r="A18" s="10" t="s">
        <v>196</v>
      </c>
      <c r="B18" s="10" t="s">
        <v>278</v>
      </c>
      <c r="C18" s="39"/>
      <c r="D18" s="39"/>
      <c r="E18" s="39"/>
      <c r="F18" s="39"/>
      <c r="G18" s="39"/>
      <c r="H18" s="41">
        <f t="shared" si="0"/>
        <v>0</v>
      </c>
    </row>
    <row r="19" spans="1:8">
      <c r="A19" s="10" t="s">
        <v>197</v>
      </c>
      <c r="B19" s="10" t="s">
        <v>279</v>
      </c>
      <c r="C19" s="39"/>
      <c r="D19" s="39"/>
      <c r="E19" s="39"/>
      <c r="F19" s="39"/>
      <c r="G19" s="39"/>
      <c r="H19" s="41">
        <f t="shared" si="0"/>
        <v>0</v>
      </c>
    </row>
    <row r="20" spans="1:8">
      <c r="A20" s="10" t="s">
        <v>198</v>
      </c>
      <c r="B20" s="10" t="s">
        <v>280</v>
      </c>
      <c r="C20" s="39"/>
      <c r="D20" s="39"/>
      <c r="E20" s="39"/>
      <c r="F20" s="39"/>
      <c r="G20" s="39"/>
      <c r="H20" s="41">
        <f t="shared" si="0"/>
        <v>0</v>
      </c>
    </row>
    <row r="21" spans="1:8">
      <c r="A21" s="10" t="s">
        <v>199</v>
      </c>
      <c r="B21" s="10" t="s">
        <v>281</v>
      </c>
      <c r="C21" s="39"/>
      <c r="D21" s="39"/>
      <c r="E21" s="39"/>
      <c r="F21" s="39"/>
      <c r="G21" s="39"/>
      <c r="H21" s="41">
        <f t="shared" si="0"/>
        <v>0</v>
      </c>
    </row>
    <row r="22" spans="1:8">
      <c r="A22" s="10" t="s">
        <v>200</v>
      </c>
      <c r="B22" s="10" t="s">
        <v>282</v>
      </c>
      <c r="C22" s="39"/>
      <c r="D22" s="39"/>
      <c r="E22" s="39"/>
      <c r="F22" s="39"/>
      <c r="G22" s="39"/>
      <c r="H22" s="41">
        <f t="shared" si="0"/>
        <v>0</v>
      </c>
    </row>
    <row r="23" spans="1:8">
      <c r="A23" s="10" t="s">
        <v>201</v>
      </c>
      <c r="B23" s="10" t="s">
        <v>283</v>
      </c>
      <c r="C23" s="39"/>
      <c r="D23" s="39"/>
      <c r="E23" s="39"/>
      <c r="F23" s="39"/>
      <c r="G23" s="39"/>
      <c r="H23" s="41">
        <f t="shared" si="0"/>
        <v>0</v>
      </c>
    </row>
    <row r="24" spans="1:8">
      <c r="A24" s="10" t="s">
        <v>202</v>
      </c>
      <c r="B24" s="10" t="s">
        <v>284</v>
      </c>
      <c r="C24" s="39"/>
      <c r="D24" s="39"/>
      <c r="E24" s="39"/>
      <c r="F24" s="39"/>
      <c r="G24" s="39"/>
      <c r="H24" s="41">
        <f t="shared" si="0"/>
        <v>0</v>
      </c>
    </row>
    <row r="25" spans="1:8">
      <c r="A25" s="10" t="s">
        <v>203</v>
      </c>
      <c r="B25" s="10" t="s">
        <v>285</v>
      </c>
      <c r="C25" s="39"/>
      <c r="D25" s="39"/>
      <c r="E25" s="39"/>
      <c r="F25" s="39"/>
      <c r="G25" s="39"/>
      <c r="H25" s="41">
        <f t="shared" si="0"/>
        <v>0</v>
      </c>
    </row>
    <row r="26" spans="1:8">
      <c r="A26" s="10" t="s">
        <v>204</v>
      </c>
      <c r="B26" s="10" t="s">
        <v>286</v>
      </c>
      <c r="C26" s="39"/>
      <c r="D26" s="39"/>
      <c r="E26" s="39"/>
      <c r="F26" s="39"/>
      <c r="G26" s="39"/>
      <c r="H26" s="41">
        <f t="shared" si="0"/>
        <v>0</v>
      </c>
    </row>
    <row r="27" spans="1:8">
      <c r="A27" s="10" t="s">
        <v>205</v>
      </c>
      <c r="B27" s="10" t="s">
        <v>287</v>
      </c>
      <c r="C27" s="39"/>
      <c r="D27" s="39"/>
      <c r="E27" s="39"/>
      <c r="F27" s="39"/>
      <c r="G27" s="39"/>
      <c r="H27" s="41">
        <f t="shared" si="0"/>
        <v>0</v>
      </c>
    </row>
    <row r="28" spans="1:8">
      <c r="A28" s="10" t="s">
        <v>206</v>
      </c>
      <c r="B28" s="10" t="s">
        <v>288</v>
      </c>
      <c r="C28" s="39"/>
      <c r="D28" s="39"/>
      <c r="E28" s="39"/>
      <c r="F28" s="39"/>
      <c r="G28" s="39"/>
      <c r="H28" s="41">
        <f t="shared" si="0"/>
        <v>0</v>
      </c>
    </row>
    <row r="29" spans="1:8">
      <c r="A29" s="10" t="s">
        <v>207</v>
      </c>
      <c r="B29" s="10" t="s">
        <v>289</v>
      </c>
      <c r="C29" s="39"/>
      <c r="D29" s="39"/>
      <c r="E29" s="39"/>
      <c r="F29" s="39"/>
      <c r="G29" s="39"/>
      <c r="H29" s="41">
        <f t="shared" si="0"/>
        <v>0</v>
      </c>
    </row>
    <row r="30" spans="1:8">
      <c r="A30" s="10" t="s">
        <v>209</v>
      </c>
      <c r="B30" s="10" t="s">
        <v>290</v>
      </c>
      <c r="C30" s="39"/>
      <c r="D30" s="39"/>
      <c r="E30" s="39"/>
      <c r="F30" s="39"/>
      <c r="G30" s="39"/>
      <c r="H30" s="41">
        <f t="shared" si="0"/>
        <v>0</v>
      </c>
    </row>
    <row r="31" spans="1:8">
      <c r="A31" s="10" t="s">
        <v>208</v>
      </c>
      <c r="B31" s="10" t="s">
        <v>291</v>
      </c>
      <c r="C31" s="39"/>
      <c r="D31" s="39"/>
      <c r="E31" s="39"/>
      <c r="F31" s="39"/>
      <c r="G31" s="39"/>
      <c r="H31" s="41">
        <f t="shared" si="0"/>
        <v>0</v>
      </c>
    </row>
    <row r="32" spans="1:8">
      <c r="A32" s="10" t="s">
        <v>210</v>
      </c>
      <c r="B32" s="10" t="s">
        <v>211</v>
      </c>
      <c r="C32" s="39"/>
      <c r="D32" s="39"/>
      <c r="E32" s="39"/>
      <c r="F32" s="39"/>
      <c r="G32" s="39"/>
      <c r="H32" s="41">
        <f t="shared" si="0"/>
        <v>0</v>
      </c>
    </row>
    <row r="33" spans="1:8">
      <c r="A33" s="10" t="s">
        <v>214</v>
      </c>
      <c r="B33" s="10" t="s">
        <v>215</v>
      </c>
      <c r="C33" s="39"/>
      <c r="D33" s="39"/>
      <c r="E33" s="39"/>
      <c r="F33" s="39"/>
      <c r="G33" s="39"/>
      <c r="H33" s="41">
        <f t="shared" si="0"/>
        <v>0</v>
      </c>
    </row>
    <row r="34" spans="1:8">
      <c r="A34" s="10" t="s">
        <v>213</v>
      </c>
      <c r="B34" s="10" t="s">
        <v>292</v>
      </c>
      <c r="C34" s="39"/>
      <c r="D34" s="39"/>
      <c r="E34" s="39"/>
      <c r="F34" s="39"/>
      <c r="G34" s="39"/>
      <c r="H34" s="41">
        <f t="shared" si="0"/>
        <v>0</v>
      </c>
    </row>
    <row r="35" spans="1:8">
      <c r="A35" s="10" t="s">
        <v>212</v>
      </c>
      <c r="B35" s="10" t="s">
        <v>293</v>
      </c>
      <c r="C35" s="39"/>
      <c r="D35" s="39"/>
      <c r="E35" s="39"/>
      <c r="F35" s="39"/>
      <c r="G35" s="39"/>
      <c r="H35" s="41">
        <f t="shared" si="0"/>
        <v>0</v>
      </c>
    </row>
    <row r="36" spans="1:8">
      <c r="A36" s="10" t="s">
        <v>216</v>
      </c>
      <c r="B36" s="10" t="s">
        <v>294</v>
      </c>
      <c r="C36" s="39"/>
      <c r="D36" s="39"/>
      <c r="E36" s="39"/>
      <c r="F36" s="39"/>
      <c r="G36" s="39"/>
      <c r="H36" s="41">
        <f t="shared" si="0"/>
        <v>0</v>
      </c>
    </row>
    <row r="37" spans="1:8">
      <c r="A37" s="10" t="s">
        <v>217</v>
      </c>
      <c r="B37" s="10" t="s">
        <v>295</v>
      </c>
      <c r="C37" s="40"/>
      <c r="D37" s="40"/>
      <c r="E37" s="40"/>
      <c r="F37" s="40"/>
      <c r="G37" s="39"/>
      <c r="H37" s="95">
        <f t="shared" si="0"/>
        <v>0</v>
      </c>
    </row>
    <row r="38" spans="1:8">
      <c r="B38" s="10" t="s">
        <v>296</v>
      </c>
      <c r="C38" s="39">
        <f>SUM(C13:C37)</f>
        <v>0</v>
      </c>
      <c r="D38" s="39">
        <f>SUM(D13:D37)</f>
        <v>0</v>
      </c>
      <c r="E38" s="39">
        <f>SUM(E13:E37)</f>
        <v>0</v>
      </c>
      <c r="F38" s="39">
        <f>SUM(F13:F37)</f>
        <v>0</v>
      </c>
      <c r="G38" s="39"/>
      <c r="H38" s="41">
        <f>SUM(H13:H37)</f>
        <v>0</v>
      </c>
    </row>
    <row r="39" spans="1:8">
      <c r="C39" s="39"/>
      <c r="D39" s="39"/>
      <c r="E39" s="39"/>
      <c r="F39" s="39"/>
      <c r="G39" s="39"/>
      <c r="H39" s="41"/>
    </row>
    <row r="40" spans="1:8">
      <c r="A40" s="10" t="s">
        <v>297</v>
      </c>
      <c r="C40" s="39"/>
      <c r="D40" s="39"/>
      <c r="E40" s="39"/>
      <c r="F40" s="39"/>
      <c r="G40" s="39"/>
      <c r="H40" s="41"/>
    </row>
    <row r="41" spans="1:8">
      <c r="A41" s="10" t="s">
        <v>218</v>
      </c>
      <c r="B41" s="10" t="s">
        <v>298</v>
      </c>
      <c r="C41" s="39"/>
      <c r="D41" s="39"/>
      <c r="E41" s="39"/>
      <c r="F41" s="39"/>
      <c r="G41" s="39"/>
      <c r="H41" s="41">
        <f t="shared" ref="H41:H48" si="1">+SUM(C41:G41)</f>
        <v>0</v>
      </c>
    </row>
    <row r="42" spans="1:8">
      <c r="A42" s="10" t="s">
        <v>219</v>
      </c>
      <c r="B42" s="10" t="s">
        <v>220</v>
      </c>
      <c r="C42" s="39"/>
      <c r="D42" s="39"/>
      <c r="E42" s="39"/>
      <c r="F42" s="39"/>
      <c r="G42" s="39"/>
      <c r="H42" s="41">
        <f t="shared" si="1"/>
        <v>0</v>
      </c>
    </row>
    <row r="43" spans="1:8">
      <c r="A43" s="10" t="s">
        <v>221</v>
      </c>
      <c r="B43" s="10" t="s">
        <v>222</v>
      </c>
      <c r="C43" s="39"/>
      <c r="D43" s="39"/>
      <c r="E43" s="39"/>
      <c r="F43" s="39"/>
      <c r="G43" s="39"/>
      <c r="H43" s="41">
        <f t="shared" si="1"/>
        <v>0</v>
      </c>
    </row>
    <row r="44" spans="1:8">
      <c r="A44" s="10" t="s">
        <v>223</v>
      </c>
      <c r="B44" s="10" t="s">
        <v>299</v>
      </c>
      <c r="C44" s="39"/>
      <c r="D44" s="39"/>
      <c r="E44" s="39"/>
      <c r="F44" s="39"/>
      <c r="G44" s="39"/>
      <c r="H44" s="41">
        <f t="shared" si="1"/>
        <v>0</v>
      </c>
    </row>
    <row r="45" spans="1:8">
      <c r="A45" s="10" t="s">
        <v>224</v>
      </c>
      <c r="B45" s="10" t="s">
        <v>225</v>
      </c>
      <c r="C45" s="39"/>
      <c r="D45" s="39"/>
      <c r="E45" s="39"/>
      <c r="F45" s="39"/>
      <c r="G45" s="39"/>
      <c r="H45" s="41">
        <f t="shared" si="1"/>
        <v>0</v>
      </c>
    </row>
    <row r="46" spans="1:8">
      <c r="A46" s="10" t="s">
        <v>226</v>
      </c>
      <c r="B46" s="10" t="s">
        <v>227</v>
      </c>
      <c r="C46" s="39"/>
      <c r="D46" s="39"/>
      <c r="E46" s="39"/>
      <c r="F46" s="39"/>
      <c r="G46" s="39"/>
      <c r="H46" s="41">
        <f t="shared" si="1"/>
        <v>0</v>
      </c>
    </row>
    <row r="47" spans="1:8">
      <c r="A47" s="10" t="s">
        <v>228</v>
      </c>
      <c r="B47" s="10" t="s">
        <v>300</v>
      </c>
      <c r="C47" s="39"/>
      <c r="D47" s="39"/>
      <c r="E47" s="39"/>
      <c r="F47" s="39"/>
      <c r="G47" s="39"/>
      <c r="H47" s="41">
        <f t="shared" si="1"/>
        <v>0</v>
      </c>
    </row>
    <row r="48" spans="1:8">
      <c r="A48" s="10" t="s">
        <v>229</v>
      </c>
      <c r="B48" s="10" t="s">
        <v>301</v>
      </c>
      <c r="C48" s="40"/>
      <c r="D48" s="40"/>
      <c r="E48" s="40"/>
      <c r="F48" s="40"/>
      <c r="G48" s="39"/>
      <c r="H48" s="95">
        <f t="shared" si="1"/>
        <v>0</v>
      </c>
    </row>
    <row r="49" spans="1:8">
      <c r="B49" s="10" t="s">
        <v>302</v>
      </c>
      <c r="C49" s="39">
        <f>SUM(C41:C48)</f>
        <v>0</v>
      </c>
      <c r="D49" s="39">
        <f>SUM(D41:D48)</f>
        <v>0</v>
      </c>
      <c r="E49" s="39">
        <f>SUM(E41:E48)</f>
        <v>0</v>
      </c>
      <c r="F49" s="39">
        <f>SUM(F41:F48)</f>
        <v>0</v>
      </c>
      <c r="G49" s="39"/>
      <c r="H49" s="41">
        <f>SUM(H41:H48)</f>
        <v>0</v>
      </c>
    </row>
    <row r="50" spans="1:8">
      <c r="C50" s="39"/>
      <c r="D50" s="39"/>
      <c r="E50" s="39"/>
      <c r="F50" s="39"/>
      <c r="G50" s="39"/>
      <c r="H50" s="41"/>
    </row>
    <row r="51" spans="1:8">
      <c r="A51" s="10" t="s">
        <v>303</v>
      </c>
      <c r="C51" s="39"/>
      <c r="D51" s="39"/>
      <c r="E51" s="39"/>
      <c r="F51" s="39"/>
      <c r="G51" s="39"/>
      <c r="H51" s="41"/>
    </row>
    <row r="52" spans="1:8">
      <c r="A52" s="10" t="s">
        <v>304</v>
      </c>
      <c r="C52" s="39"/>
      <c r="D52" s="39"/>
      <c r="E52" s="39"/>
      <c r="F52" s="39"/>
      <c r="G52" s="39"/>
      <c r="H52" s="41"/>
    </row>
    <row r="53" spans="1:8">
      <c r="A53" s="10" t="s">
        <v>230</v>
      </c>
      <c r="B53" s="10" t="s">
        <v>407</v>
      </c>
      <c r="C53" s="39"/>
      <c r="D53" s="39"/>
      <c r="E53" s="39"/>
      <c r="F53" s="39"/>
      <c r="G53" s="39"/>
      <c r="H53" s="41">
        <f t="shared" ref="H53:H65" si="2">+SUM(C53:G53)</f>
        <v>0</v>
      </c>
    </row>
    <row r="54" spans="1:8">
      <c r="A54" s="10" t="s">
        <v>231</v>
      </c>
      <c r="B54" s="10" t="s">
        <v>408</v>
      </c>
      <c r="C54" s="39"/>
      <c r="D54" s="39"/>
      <c r="E54" s="39"/>
      <c r="F54" s="39"/>
      <c r="G54" s="39"/>
      <c r="H54" s="41">
        <f t="shared" si="2"/>
        <v>0</v>
      </c>
    </row>
    <row r="55" spans="1:8">
      <c r="A55" s="10" t="s">
        <v>232</v>
      </c>
      <c r="B55" s="10" t="s">
        <v>409</v>
      </c>
      <c r="C55" s="39"/>
      <c r="D55" s="39"/>
      <c r="E55" s="39"/>
      <c r="F55" s="39"/>
      <c r="G55" s="39"/>
      <c r="H55" s="41">
        <f t="shared" si="2"/>
        <v>0</v>
      </c>
    </row>
    <row r="56" spans="1:8">
      <c r="A56" s="10" t="s">
        <v>233</v>
      </c>
      <c r="B56" s="10" t="s">
        <v>305</v>
      </c>
      <c r="C56" s="39"/>
      <c r="D56" s="39"/>
      <c r="E56" s="39"/>
      <c r="F56" s="39"/>
      <c r="G56" s="39"/>
      <c r="H56" s="41">
        <f t="shared" si="2"/>
        <v>0</v>
      </c>
    </row>
    <row r="57" spans="1:8">
      <c r="A57" s="10" t="s">
        <v>234</v>
      </c>
      <c r="B57" s="10" t="s">
        <v>306</v>
      </c>
      <c r="C57" s="39"/>
      <c r="D57" s="39"/>
      <c r="E57" s="39"/>
      <c r="F57" s="39"/>
      <c r="G57" s="39"/>
      <c r="H57" s="41">
        <f t="shared" si="2"/>
        <v>0</v>
      </c>
    </row>
    <row r="58" spans="1:8">
      <c r="A58" s="10" t="s">
        <v>0</v>
      </c>
      <c r="B58" s="10" t="s">
        <v>307</v>
      </c>
      <c r="C58" s="39">
        <f ca="1">+(+C147+C144+SUM!L146)*0.83+9893.79</f>
        <v>23523.054</v>
      </c>
      <c r="D58" s="39">
        <f ca="1">+(+D147+D144+SUM!C146)*0.83+2638.34</f>
        <v>21798.392</v>
      </c>
      <c r="E58" s="39">
        <f ca="1">+(+E147+E144+SUM!F146)*0.83+3297.93</f>
        <v>17377.136999999999</v>
      </c>
      <c r="F58" s="39">
        <f ca="1">+(+F147+F144+SUM!I146)*0.83+3297.93</f>
        <v>18047.694</v>
      </c>
      <c r="G58" s="39"/>
      <c r="H58" s="41">
        <f t="shared" si="2"/>
        <v>80746.277000000002</v>
      </c>
    </row>
    <row r="59" spans="1:8">
      <c r="A59" s="10" t="s">
        <v>1</v>
      </c>
      <c r="B59" s="10" t="s">
        <v>308</v>
      </c>
      <c r="C59" s="39"/>
      <c r="D59" s="39"/>
      <c r="E59" s="39"/>
      <c r="F59" s="39"/>
      <c r="G59" s="39"/>
      <c r="H59" s="41">
        <f t="shared" si="2"/>
        <v>0</v>
      </c>
    </row>
    <row r="60" spans="1:8">
      <c r="A60" s="10" t="s">
        <v>3</v>
      </c>
      <c r="B60" s="10" t="s">
        <v>2</v>
      </c>
      <c r="C60" s="39"/>
      <c r="D60" s="39"/>
      <c r="E60" s="39"/>
      <c r="F60" s="39"/>
      <c r="G60" s="39"/>
      <c r="H60" s="41">
        <f t="shared" si="2"/>
        <v>0</v>
      </c>
    </row>
    <row r="61" spans="1:8">
      <c r="A61" s="10" t="s">
        <v>4</v>
      </c>
      <c r="B61" s="10" t="s">
        <v>5</v>
      </c>
      <c r="C61" s="39"/>
      <c r="D61" s="39"/>
      <c r="E61" s="39"/>
      <c r="F61" s="39"/>
      <c r="G61" s="39"/>
      <c r="H61" s="41">
        <f t="shared" si="2"/>
        <v>0</v>
      </c>
    </row>
    <row r="62" spans="1:8">
      <c r="A62" s="10" t="s">
        <v>6</v>
      </c>
      <c r="B62" s="10" t="s">
        <v>7</v>
      </c>
      <c r="C62" s="39"/>
      <c r="D62" s="39"/>
      <c r="E62" s="39"/>
      <c r="F62" s="39"/>
      <c r="G62" s="39"/>
      <c r="H62" s="41">
        <f t="shared" si="2"/>
        <v>0</v>
      </c>
    </row>
    <row r="63" spans="1:8">
      <c r="A63" s="10" t="s">
        <v>8</v>
      </c>
      <c r="B63" s="10" t="s">
        <v>9</v>
      </c>
      <c r="C63" s="39"/>
      <c r="D63" s="39"/>
      <c r="E63" s="39"/>
      <c r="F63" s="39"/>
      <c r="G63" s="39"/>
      <c r="H63" s="41">
        <f t="shared" si="2"/>
        <v>0</v>
      </c>
    </row>
    <row r="64" spans="1:8">
      <c r="A64" s="10" t="s">
        <v>11</v>
      </c>
      <c r="B64" s="10" t="s">
        <v>310</v>
      </c>
      <c r="C64" s="39"/>
      <c r="D64" s="39"/>
      <c r="E64" s="39"/>
      <c r="F64" s="39"/>
      <c r="G64" s="39"/>
      <c r="H64" s="41">
        <f t="shared" si="2"/>
        <v>0</v>
      </c>
    </row>
    <row r="65" spans="1:8">
      <c r="A65" s="10" t="s">
        <v>10</v>
      </c>
      <c r="B65" s="10" t="s">
        <v>309</v>
      </c>
      <c r="C65" s="40"/>
      <c r="D65" s="40"/>
      <c r="E65" s="40"/>
      <c r="F65" s="40"/>
      <c r="G65" s="39"/>
      <c r="H65" s="95">
        <f t="shared" si="2"/>
        <v>0</v>
      </c>
    </row>
    <row r="66" spans="1:8">
      <c r="B66" s="10" t="s">
        <v>311</v>
      </c>
      <c r="C66" s="39">
        <f>SUM(C53:C65)</f>
        <v>23523.054</v>
      </c>
      <c r="D66" s="39">
        <f>SUM(D53:D65)</f>
        <v>21798.392</v>
      </c>
      <c r="E66" s="39">
        <f>SUM(E53:E65)</f>
        <v>17377.136999999999</v>
      </c>
      <c r="F66" s="39">
        <f>SUM(F53:F65)</f>
        <v>18047.694</v>
      </c>
      <c r="G66" s="39"/>
      <c r="H66" s="41">
        <f>SUM(H53:H65)</f>
        <v>80746.277000000002</v>
      </c>
    </row>
    <row r="67" spans="1:8">
      <c r="C67" s="39"/>
      <c r="D67" s="39"/>
      <c r="E67" s="39"/>
      <c r="F67" s="39"/>
      <c r="G67" s="39"/>
      <c r="H67" s="41"/>
    </row>
    <row r="68" spans="1:8" s="4" customFormat="1" ht="10.5">
      <c r="A68" s="14"/>
      <c r="B68" s="14" t="s">
        <v>312</v>
      </c>
      <c r="C68" s="41">
        <f>SUM(C38+C49+C66)</f>
        <v>23523.054</v>
      </c>
      <c r="D68" s="41">
        <f>SUM(D38+D49+D66)</f>
        <v>21798.392</v>
      </c>
      <c r="E68" s="41">
        <f>SUM(E38+E49+E66)</f>
        <v>17377.136999999999</v>
      </c>
      <c r="F68" s="41">
        <f>SUM(F38+F49+F66)</f>
        <v>18047.694</v>
      </c>
      <c r="G68" s="41"/>
      <c r="H68" s="41">
        <f>SUM(H38+H49+H66)</f>
        <v>80746.277000000002</v>
      </c>
    </row>
    <row r="69" spans="1:8">
      <c r="C69" s="39"/>
      <c r="D69" s="39"/>
      <c r="E69" s="39"/>
      <c r="F69" s="39"/>
      <c r="G69" s="39"/>
      <c r="H69" s="41"/>
    </row>
    <row r="70" spans="1:8">
      <c r="A70" s="10" t="s">
        <v>313</v>
      </c>
      <c r="C70" s="39"/>
      <c r="D70" s="39"/>
      <c r="E70" s="39"/>
      <c r="F70" s="39"/>
      <c r="G70" s="39"/>
      <c r="H70" s="41"/>
    </row>
    <row r="71" spans="1:8">
      <c r="A71" s="10" t="s">
        <v>314</v>
      </c>
      <c r="C71" s="39"/>
      <c r="D71" s="39"/>
      <c r="E71" s="39"/>
      <c r="F71" s="39"/>
      <c r="G71" s="39"/>
      <c r="H71" s="41"/>
    </row>
    <row r="72" spans="1:8">
      <c r="A72" s="10" t="s">
        <v>19</v>
      </c>
      <c r="B72" s="10" t="s">
        <v>323</v>
      </c>
      <c r="C72" s="39"/>
      <c r="D72" s="39"/>
      <c r="E72" s="39"/>
      <c r="F72" s="39"/>
      <c r="G72" s="39"/>
      <c r="H72" s="41">
        <f t="shared" ref="H72:H79" si="3">+SUM(C72:G72)</f>
        <v>0</v>
      </c>
    </row>
    <row r="73" spans="1:8">
      <c r="A73" s="10" t="s">
        <v>12</v>
      </c>
      <c r="B73" s="10" t="s">
        <v>315</v>
      </c>
      <c r="C73" s="39"/>
      <c r="D73" s="39"/>
      <c r="E73" s="39"/>
      <c r="F73" s="39"/>
      <c r="G73" s="39"/>
      <c r="H73" s="41">
        <f t="shared" si="3"/>
        <v>0</v>
      </c>
    </row>
    <row r="74" spans="1:8">
      <c r="A74" s="10" t="s">
        <v>13</v>
      </c>
      <c r="B74" s="10" t="s">
        <v>316</v>
      </c>
      <c r="C74" s="39"/>
      <c r="D74" s="39"/>
      <c r="E74" s="39"/>
      <c r="F74" s="39"/>
      <c r="G74" s="39"/>
      <c r="H74" s="41">
        <f t="shared" si="3"/>
        <v>0</v>
      </c>
    </row>
    <row r="75" spans="1:8">
      <c r="A75" s="10" t="s">
        <v>14</v>
      </c>
      <c r="B75" s="10" t="s">
        <v>317</v>
      </c>
      <c r="C75" s="39"/>
      <c r="D75" s="39"/>
      <c r="E75" s="39"/>
      <c r="F75" s="39"/>
      <c r="G75" s="39"/>
      <c r="H75" s="41">
        <f t="shared" si="3"/>
        <v>0</v>
      </c>
    </row>
    <row r="76" spans="1:8">
      <c r="A76" s="10" t="s">
        <v>15</v>
      </c>
      <c r="B76" s="10" t="s">
        <v>318</v>
      </c>
      <c r="C76" s="39">
        <f ca="1">SUM('12-2013 Ret Emp'!$I73)*C7</f>
        <v>4361.1890675165996</v>
      </c>
      <c r="D76" s="39">
        <f ca="1">SUM('12-2013 Ret Emp'!$I73)*D7</f>
        <v>17444.756270066398</v>
      </c>
      <c r="E76" s="39">
        <f ca="1">SUM('12-2013 Ret Emp'!$I73)*E7</f>
        <v>10902.972668791499</v>
      </c>
      <c r="F76" s="39">
        <f ca="1">SUM('12-2013 Ret Emp'!$I73)*F7</f>
        <v>10902.972668791499</v>
      </c>
      <c r="G76" s="39"/>
      <c r="H76" s="41">
        <f t="shared" si="3"/>
        <v>43611.890675165996</v>
      </c>
    </row>
    <row r="77" spans="1:8">
      <c r="A77" s="10" t="s">
        <v>16</v>
      </c>
      <c r="B77" s="10" t="s">
        <v>319</v>
      </c>
      <c r="C77" s="39"/>
      <c r="D77" s="39"/>
      <c r="E77" s="39"/>
      <c r="F77" s="39"/>
      <c r="G77" s="39"/>
      <c r="H77" s="41">
        <f t="shared" si="3"/>
        <v>0</v>
      </c>
    </row>
    <row r="78" spans="1:8">
      <c r="A78" s="10" t="s">
        <v>17</v>
      </c>
      <c r="B78" s="10" t="s">
        <v>320</v>
      </c>
      <c r="C78" s="39"/>
      <c r="D78" s="39"/>
      <c r="E78" s="39"/>
      <c r="F78" s="39"/>
      <c r="G78" s="39"/>
      <c r="H78" s="41">
        <f t="shared" si="3"/>
        <v>0</v>
      </c>
    </row>
    <row r="79" spans="1:8" ht="14.25" customHeight="1">
      <c r="A79" s="10" t="s">
        <v>18</v>
      </c>
      <c r="B79" s="10" t="s">
        <v>322</v>
      </c>
      <c r="C79" s="40"/>
      <c r="D79" s="40"/>
      <c r="E79" s="40"/>
      <c r="F79" s="40"/>
      <c r="G79" s="39"/>
      <c r="H79" s="95">
        <f t="shared" si="3"/>
        <v>0</v>
      </c>
    </row>
    <row r="80" spans="1:8">
      <c r="B80" s="10" t="s">
        <v>24</v>
      </c>
      <c r="C80" s="39">
        <f>SUM(C72:C79)</f>
        <v>4361.1890675165996</v>
      </c>
      <c r="D80" s="39">
        <f>SUM(D72:D79)</f>
        <v>17444.756270066398</v>
      </c>
      <c r="E80" s="39">
        <f>SUM(E72:E79)</f>
        <v>10902.972668791499</v>
      </c>
      <c r="F80" s="39">
        <f>SUM(F72:F79)</f>
        <v>10902.972668791499</v>
      </c>
      <c r="G80" s="39"/>
      <c r="H80" s="41">
        <f>SUM(H72:H79)</f>
        <v>43611.890675165996</v>
      </c>
    </row>
    <row r="81" spans="1:8">
      <c r="C81" s="39"/>
      <c r="D81" s="39"/>
      <c r="E81" s="39"/>
      <c r="F81" s="39"/>
      <c r="G81" s="39"/>
      <c r="H81" s="41"/>
    </row>
    <row r="82" spans="1:8">
      <c r="C82" s="39"/>
      <c r="D82" s="39"/>
      <c r="E82" s="39"/>
      <c r="F82" s="39"/>
      <c r="G82" s="39"/>
      <c r="H82" s="41"/>
    </row>
    <row r="83" spans="1:8">
      <c r="A83" s="10" t="s">
        <v>325</v>
      </c>
      <c r="C83" s="39"/>
      <c r="D83" s="39"/>
      <c r="E83" s="39"/>
      <c r="F83" s="39"/>
      <c r="G83" s="39"/>
      <c r="H83" s="41"/>
    </row>
    <row r="84" spans="1:8">
      <c r="A84" s="10" t="s">
        <v>20</v>
      </c>
      <c r="B84" s="10" t="s">
        <v>324</v>
      </c>
      <c r="C84" s="39"/>
      <c r="D84" s="39"/>
      <c r="E84" s="39"/>
      <c r="F84" s="39"/>
      <c r="G84" s="39"/>
      <c r="H84" s="41">
        <f>+SUM(C84:G84)</f>
        <v>0</v>
      </c>
    </row>
    <row r="85" spans="1:8">
      <c r="A85" s="10" t="s">
        <v>21</v>
      </c>
      <c r="B85" s="10" t="s">
        <v>325</v>
      </c>
      <c r="C85" s="39"/>
      <c r="D85" s="39"/>
      <c r="E85" s="39"/>
      <c r="F85" s="39"/>
      <c r="G85" s="39"/>
      <c r="H85" s="41"/>
    </row>
    <row r="86" spans="1:8">
      <c r="A86" s="10" t="s">
        <v>440</v>
      </c>
      <c r="B86" s="10" t="s">
        <v>441</v>
      </c>
      <c r="C86" s="39"/>
      <c r="D86" s="39"/>
      <c r="E86" s="39"/>
      <c r="F86" s="39"/>
      <c r="G86" s="39"/>
      <c r="H86" s="41">
        <f>+SUM(C86:G86)</f>
        <v>0</v>
      </c>
    </row>
    <row r="87" spans="1:8">
      <c r="A87" s="10" t="s">
        <v>22</v>
      </c>
      <c r="B87" s="10" t="s">
        <v>23</v>
      </c>
      <c r="C87" s="40"/>
      <c r="D87" s="40"/>
      <c r="E87" s="40"/>
      <c r="F87" s="40"/>
      <c r="G87" s="39"/>
      <c r="H87" s="95">
        <f>+SUM(C87:G87)</f>
        <v>0</v>
      </c>
    </row>
    <row r="88" spans="1:8">
      <c r="B88" s="10" t="s">
        <v>326</v>
      </c>
      <c r="C88" s="39">
        <f>SUM(C84:C87)</f>
        <v>0</v>
      </c>
      <c r="D88" s="39">
        <f>SUM(D84:D87)</f>
        <v>0</v>
      </c>
      <c r="E88" s="39">
        <f>SUM(E84:E87)</f>
        <v>0</v>
      </c>
      <c r="F88" s="39">
        <f>SUM(F84:F87)</f>
        <v>0</v>
      </c>
      <c r="G88" s="39"/>
      <c r="H88" s="41">
        <f>SUM(H84:H87)</f>
        <v>0</v>
      </c>
    </row>
    <row r="89" spans="1:8">
      <c r="C89" s="39"/>
      <c r="D89" s="39"/>
      <c r="E89" s="39"/>
      <c r="F89" s="39"/>
      <c r="G89" s="39"/>
      <c r="H89" s="41"/>
    </row>
    <row r="90" spans="1:8">
      <c r="B90" s="10" t="s">
        <v>327</v>
      </c>
      <c r="C90" s="41">
        <f>SUM(C80+C88)</f>
        <v>4361.1890675165996</v>
      </c>
      <c r="D90" s="41">
        <f>SUM(D80+D88)</f>
        <v>17444.756270066398</v>
      </c>
      <c r="E90" s="41">
        <f>SUM(E80+E88)</f>
        <v>10902.972668791499</v>
      </c>
      <c r="F90" s="41">
        <f>SUM(F80+F88)</f>
        <v>10902.972668791499</v>
      </c>
      <c r="G90" s="41"/>
      <c r="H90" s="41">
        <f>SUM(H80+H88)</f>
        <v>43611.890675165996</v>
      </c>
    </row>
    <row r="91" spans="1:8">
      <c r="C91" s="39"/>
      <c r="D91" s="39"/>
      <c r="E91" s="39"/>
      <c r="F91" s="39"/>
      <c r="G91" s="39"/>
      <c r="H91" s="41"/>
    </row>
    <row r="92" spans="1:8">
      <c r="A92" s="10" t="s">
        <v>328</v>
      </c>
      <c r="C92" s="39"/>
      <c r="D92" s="39"/>
      <c r="E92" s="39"/>
      <c r="F92" s="39"/>
      <c r="G92" s="39"/>
      <c r="H92" s="41"/>
    </row>
    <row r="93" spans="1:8">
      <c r="A93" s="10" t="s">
        <v>25</v>
      </c>
      <c r="B93" s="10" t="s">
        <v>33</v>
      </c>
      <c r="C93" s="39">
        <f>+C$7*139.64*2*1.05*12</f>
        <v>351.89279999999997</v>
      </c>
      <c r="D93" s="39">
        <f>+D$7*139.64*2*1.05*12</f>
        <v>1407.5711999999999</v>
      </c>
      <c r="E93" s="39">
        <f>+E$7*139.64*2*1.05*12</f>
        <v>879.73199999999997</v>
      </c>
      <c r="F93" s="39">
        <f>+F$7*139.64*2*1.05*12</f>
        <v>879.73199999999997</v>
      </c>
      <c r="G93" s="39"/>
      <c r="H93" s="41">
        <f t="shared" ref="H93:H101" si="4">+SUM(C93:G93)</f>
        <v>3518.9279999999999</v>
      </c>
    </row>
    <row r="94" spans="1:8">
      <c r="A94" s="10" t="s">
        <v>26</v>
      </c>
      <c r="B94" s="10" t="s">
        <v>34</v>
      </c>
      <c r="C94" s="39">
        <f>+C$7*8.74*2*1.02*12</f>
        <v>21.395520000000005</v>
      </c>
      <c r="D94" s="39">
        <f>+D$7*8.74*2*1.02*12</f>
        <v>85.582080000000019</v>
      </c>
      <c r="E94" s="39">
        <f>+E$7*8.74*2*1.02*12</f>
        <v>53.488799999999998</v>
      </c>
      <c r="F94" s="39">
        <f>+F$7*8.74*2*1.02*12</f>
        <v>53.488799999999998</v>
      </c>
      <c r="G94" s="39"/>
      <c r="H94" s="41">
        <f t="shared" si="4"/>
        <v>213.95520000000002</v>
      </c>
    </row>
    <row r="95" spans="1:8">
      <c r="A95" s="10" t="s">
        <v>28</v>
      </c>
      <c r="B95" s="10" t="s">
        <v>27</v>
      </c>
      <c r="C95" s="39">
        <f>(+C$88-C$84+C$80)*0.062</f>
        <v>270.39372218602915</v>
      </c>
      <c r="D95" s="39">
        <f>(+D$88-D$84+D$80)*0.062</f>
        <v>1081.5748887441166</v>
      </c>
      <c r="E95" s="39">
        <f>(+E$88-E$84+E$80)*0.062</f>
        <v>675.98430546507291</v>
      </c>
      <c r="F95" s="39">
        <f>(+F$88-F$84+F$80)*0.062</f>
        <v>675.98430546507291</v>
      </c>
      <c r="G95" s="39"/>
      <c r="H95" s="41">
        <f t="shared" si="4"/>
        <v>2703.9372218602916</v>
      </c>
    </row>
    <row r="96" spans="1:8">
      <c r="A96" s="10" t="s">
        <v>30</v>
      </c>
      <c r="B96" s="10" t="s">
        <v>29</v>
      </c>
      <c r="C96" s="39">
        <f>(+C$88-C$84+C$80)*0.0145</f>
        <v>63.237241478990697</v>
      </c>
      <c r="D96" s="39">
        <f>(+D$88-D$84+D$80)*0.0145</f>
        <v>252.94896591596279</v>
      </c>
      <c r="E96" s="39">
        <f>(+E$88-E$84+E$80)*0.0145</f>
        <v>158.09310369747675</v>
      </c>
      <c r="F96" s="39">
        <f>(+F$88-F$84+F$80)*0.0145</f>
        <v>158.09310369747675</v>
      </c>
      <c r="G96" s="39"/>
      <c r="H96" s="41">
        <f t="shared" si="4"/>
        <v>632.372414789907</v>
      </c>
    </row>
    <row r="97" spans="1:8">
      <c r="A97" s="10" t="s">
        <v>31</v>
      </c>
      <c r="B97" s="10" t="s">
        <v>32</v>
      </c>
      <c r="C97" s="39">
        <f>(+C$88-C$84+C$80)*0.06</f>
        <v>261.67134405099597</v>
      </c>
      <c r="D97" s="39">
        <f>(+D$88-D$84+D$80)*0.06</f>
        <v>1046.6853762039839</v>
      </c>
      <c r="E97" s="39">
        <f>(+E$88-E$84+E$80)*0.06</f>
        <v>654.1783601274899</v>
      </c>
      <c r="F97" s="39">
        <f>(+F$88-F$84+F$80)*0.06</f>
        <v>654.1783601274899</v>
      </c>
      <c r="G97" s="39"/>
      <c r="H97" s="41">
        <f t="shared" si="4"/>
        <v>2616.7134405099596</v>
      </c>
    </row>
    <row r="98" spans="1:8">
      <c r="A98" s="10" t="s">
        <v>36</v>
      </c>
      <c r="B98" s="10" t="s">
        <v>35</v>
      </c>
      <c r="C98" s="39">
        <f>(+C$88-C$84+C$80)*0.0056</f>
        <v>24.422658778092959</v>
      </c>
      <c r="D98" s="39">
        <f>(+D$88-D$84+D$80)*0.0056</f>
        <v>97.690635112371837</v>
      </c>
      <c r="E98" s="39">
        <f>(+E$88-E$84+E$80)*0.0056</f>
        <v>61.056646945232394</v>
      </c>
      <c r="F98" s="39">
        <f>(+F$88-F$84+F$80)*0.0056</f>
        <v>61.056646945232394</v>
      </c>
      <c r="G98" s="39"/>
      <c r="H98" s="41">
        <f t="shared" si="4"/>
        <v>244.22658778092958</v>
      </c>
    </row>
    <row r="99" spans="1:8">
      <c r="A99" s="10" t="s">
        <v>38</v>
      </c>
      <c r="B99" s="10" t="s">
        <v>37</v>
      </c>
      <c r="C99" s="39">
        <f>+C$7*7700*0.0201</f>
        <v>15.477</v>
      </c>
      <c r="D99" s="39">
        <f>+D$7*7700*0.0201</f>
        <v>61.908000000000001</v>
      </c>
      <c r="E99" s="39">
        <f>+E$7*7700*0.0201</f>
        <v>38.692500000000003</v>
      </c>
      <c r="F99" s="39">
        <f>+F$7*7700*0.0201</f>
        <v>38.692500000000003</v>
      </c>
      <c r="G99" s="39"/>
      <c r="H99" s="41">
        <f t="shared" si="4"/>
        <v>154.77000000000001</v>
      </c>
    </row>
    <row r="100" spans="1:8">
      <c r="A100" s="10" t="s">
        <v>83</v>
      </c>
      <c r="B100" s="10" t="s">
        <v>84</v>
      </c>
      <c r="C100" s="39"/>
      <c r="D100" s="39"/>
      <c r="E100" s="39"/>
      <c r="F100" s="39"/>
      <c r="G100" s="39"/>
      <c r="H100" s="41">
        <f>+SUM(C100:G100)</f>
        <v>0</v>
      </c>
    </row>
    <row r="101" spans="1:8">
      <c r="A101" s="10" t="s">
        <v>39</v>
      </c>
      <c r="B101" s="10" t="s">
        <v>40</v>
      </c>
      <c r="C101" s="40">
        <f>(+C$88-C$84+C$80)*(0.0024+0.0036+0.0013)</f>
        <v>31.836680192871178</v>
      </c>
      <c r="D101" s="40">
        <f>(+D$88-D$84+D$80)*(0.0024+0.0036+0.0013)</f>
        <v>127.34672077148471</v>
      </c>
      <c r="E101" s="40">
        <f>(+E$88-E$84+E$80)*(0.0024+0.0036+0.0013)</f>
        <v>79.591700482177941</v>
      </c>
      <c r="F101" s="40">
        <f>(+F$88-F$84+F$80)*(0.0024+0.0036+0.0013)</f>
        <v>79.591700482177941</v>
      </c>
      <c r="G101" s="39"/>
      <c r="H101" s="95">
        <f t="shared" si="4"/>
        <v>318.36680192871177</v>
      </c>
    </row>
    <row r="102" spans="1:8">
      <c r="B102" s="10" t="s">
        <v>235</v>
      </c>
      <c r="C102" s="39">
        <f>SUM(C93:C101)</f>
        <v>1040.3269666869796</v>
      </c>
      <c r="D102" s="39">
        <f>SUM(D93:D101)</f>
        <v>4161.3078667479185</v>
      </c>
      <c r="E102" s="39">
        <f>SUM(E93:E101)</f>
        <v>2600.8174167174498</v>
      </c>
      <c r="F102" s="39">
        <f>SUM(F93:F101)</f>
        <v>2600.8174167174498</v>
      </c>
      <c r="G102" s="39"/>
      <c r="H102" s="41">
        <f>SUM(H93:H101)</f>
        <v>10403.269666869799</v>
      </c>
    </row>
    <row r="103" spans="1:8">
      <c r="C103" s="39"/>
      <c r="D103" s="39"/>
      <c r="E103" s="39"/>
      <c r="F103" s="39"/>
      <c r="G103" s="39"/>
      <c r="H103" s="41"/>
    </row>
    <row r="104" spans="1:8" s="4" customFormat="1" ht="10.5">
      <c r="A104" s="14"/>
      <c r="B104" s="14" t="s">
        <v>236</v>
      </c>
      <c r="C104" s="41">
        <f>SUM(C90+C102)</f>
        <v>5401.5160342035797</v>
      </c>
      <c r="D104" s="41">
        <f>SUM(D90+D102)</f>
        <v>21606.064136814319</v>
      </c>
      <c r="E104" s="41">
        <f>SUM(E90+E102)</f>
        <v>13503.790085508948</v>
      </c>
      <c r="F104" s="41">
        <f>SUM(F90+F102)</f>
        <v>13503.790085508948</v>
      </c>
      <c r="G104" s="41"/>
      <c r="H104" s="41">
        <f>SUM(H90+H102)</f>
        <v>54015.160342035793</v>
      </c>
    </row>
    <row r="105" spans="1:8">
      <c r="C105" s="39"/>
      <c r="D105" s="39"/>
      <c r="E105" s="39"/>
      <c r="F105" s="39"/>
      <c r="G105" s="39"/>
      <c r="H105" s="41"/>
    </row>
    <row r="106" spans="1:8">
      <c r="A106" s="10" t="s">
        <v>237</v>
      </c>
      <c r="C106" s="39"/>
      <c r="D106" s="39"/>
      <c r="E106" s="39"/>
      <c r="F106" s="39"/>
      <c r="G106" s="39"/>
      <c r="H106" s="41"/>
    </row>
    <row r="107" spans="1:8">
      <c r="A107" s="10" t="s">
        <v>238</v>
      </c>
      <c r="C107" s="39"/>
      <c r="D107" s="39"/>
      <c r="E107" s="39"/>
      <c r="F107" s="39"/>
      <c r="G107" s="39"/>
      <c r="H107" s="41"/>
    </row>
    <row r="108" spans="1:8">
      <c r="A108" s="10" t="s">
        <v>51</v>
      </c>
      <c r="B108" s="10" t="s">
        <v>50</v>
      </c>
      <c r="C108" s="39">
        <f>120375*C7</f>
        <v>12037.5</v>
      </c>
      <c r="D108" s="39">
        <f>120375*D7</f>
        <v>48150</v>
      </c>
      <c r="E108" s="39">
        <f>120375*E7</f>
        <v>30093.75</v>
      </c>
      <c r="F108" s="39">
        <f>120375*F7</f>
        <v>30093.75</v>
      </c>
      <c r="G108" s="172"/>
      <c r="H108" s="41">
        <f t="shared" ref="H108:H121" si="5">+SUM(C108:G108)</f>
        <v>120375</v>
      </c>
    </row>
    <row r="109" spans="1:8">
      <c r="A109" s="10" t="s">
        <v>41</v>
      </c>
      <c r="B109" s="10" t="s">
        <v>42</v>
      </c>
      <c r="C109" s="39"/>
      <c r="D109" s="39"/>
      <c r="E109" s="39"/>
      <c r="F109" s="39"/>
      <c r="G109" s="39"/>
      <c r="H109" s="41">
        <f t="shared" si="5"/>
        <v>0</v>
      </c>
    </row>
    <row r="110" spans="1:8">
      <c r="A110" s="10" t="s">
        <v>43</v>
      </c>
      <c r="B110" s="10" t="s">
        <v>239</v>
      </c>
      <c r="C110" s="39">
        <f>500*0.1</f>
        <v>50</v>
      </c>
      <c r="D110" s="39">
        <f>500*0.4</f>
        <v>200</v>
      </c>
      <c r="E110" s="39">
        <f>500*0.25</f>
        <v>125</v>
      </c>
      <c r="F110" s="39">
        <f>500*0.25</f>
        <v>125</v>
      </c>
      <c r="G110" s="39"/>
      <c r="H110" s="41">
        <f t="shared" si="5"/>
        <v>500</v>
      </c>
    </row>
    <row r="111" spans="1:8">
      <c r="A111" s="10" t="s">
        <v>44</v>
      </c>
      <c r="B111" s="10" t="s">
        <v>45</v>
      </c>
      <c r="C111" s="39"/>
      <c r="D111" s="39"/>
      <c r="E111" s="39"/>
      <c r="F111" s="39"/>
      <c r="G111" s="39"/>
      <c r="H111" s="41">
        <f t="shared" si="5"/>
        <v>0</v>
      </c>
    </row>
    <row r="112" spans="1:8">
      <c r="A112" s="10" t="s">
        <v>46</v>
      </c>
      <c r="B112" s="10" t="s">
        <v>240</v>
      </c>
      <c r="C112" s="39"/>
      <c r="D112" s="39"/>
      <c r="E112" s="39"/>
      <c r="F112" s="39"/>
      <c r="G112" s="39"/>
      <c r="H112" s="41">
        <f t="shared" si="5"/>
        <v>0</v>
      </c>
    </row>
    <row r="113" spans="1:8">
      <c r="A113" s="10" t="s">
        <v>47</v>
      </c>
      <c r="B113" s="10" t="s">
        <v>241</v>
      </c>
      <c r="C113" s="39"/>
      <c r="D113" s="39"/>
      <c r="E113" s="39"/>
      <c r="F113" s="39"/>
      <c r="G113" s="39"/>
      <c r="H113" s="41">
        <f t="shared" si="5"/>
        <v>0</v>
      </c>
    </row>
    <row r="114" spans="1:8">
      <c r="A114" s="10" t="s">
        <v>48</v>
      </c>
      <c r="B114" s="10" t="s">
        <v>49</v>
      </c>
      <c r="C114" s="39">
        <f>6800*0.1</f>
        <v>680</v>
      </c>
      <c r="D114" s="39">
        <f>6800*0.4</f>
        <v>2720</v>
      </c>
      <c r="E114" s="39">
        <f>6800*0.25</f>
        <v>1700</v>
      </c>
      <c r="F114" s="39">
        <f>6800*0.25</f>
        <v>1700</v>
      </c>
      <c r="G114" s="72"/>
      <c r="H114" s="41">
        <f t="shared" si="5"/>
        <v>6800</v>
      </c>
    </row>
    <row r="115" spans="1:8">
      <c r="A115" s="10" t="s">
        <v>82</v>
      </c>
      <c r="B115" s="10" t="s">
        <v>166</v>
      </c>
      <c r="C115" s="39"/>
      <c r="D115" s="39"/>
      <c r="E115" s="39"/>
      <c r="F115" s="39"/>
      <c r="G115" s="39"/>
      <c r="H115" s="41">
        <f t="shared" si="5"/>
        <v>0</v>
      </c>
    </row>
    <row r="116" spans="1:8">
      <c r="A116" s="10" t="s">
        <v>104</v>
      </c>
      <c r="B116" s="10" t="s">
        <v>103</v>
      </c>
      <c r="C116" s="39"/>
      <c r="D116" s="39"/>
      <c r="E116" s="39"/>
      <c r="F116" s="39"/>
      <c r="G116" s="39"/>
      <c r="H116" s="41">
        <f t="shared" si="5"/>
        <v>0</v>
      </c>
    </row>
    <row r="117" spans="1:8">
      <c r="A117" s="10" t="s">
        <v>59</v>
      </c>
      <c r="B117" s="10" t="s">
        <v>321</v>
      </c>
      <c r="C117" s="39"/>
      <c r="D117" s="39"/>
      <c r="E117" s="39"/>
      <c r="F117" s="39"/>
      <c r="G117" s="39"/>
      <c r="H117" s="41">
        <f t="shared" si="5"/>
        <v>0</v>
      </c>
    </row>
    <row r="118" spans="1:8">
      <c r="A118" s="10" t="s">
        <v>87</v>
      </c>
      <c r="B118" s="10" t="s">
        <v>88</v>
      </c>
      <c r="C118" s="39"/>
      <c r="D118" s="39"/>
      <c r="E118" s="39"/>
      <c r="F118" s="39"/>
      <c r="G118" s="39"/>
      <c r="H118" s="41">
        <f t="shared" si="5"/>
        <v>0</v>
      </c>
    </row>
    <row r="119" spans="1:8">
      <c r="A119" s="10" t="s">
        <v>89</v>
      </c>
      <c r="B119" s="10" t="s">
        <v>90</v>
      </c>
      <c r="C119" s="39"/>
      <c r="D119" s="39"/>
      <c r="E119" s="39"/>
      <c r="F119" s="39"/>
      <c r="G119" s="39"/>
      <c r="H119" s="41">
        <f t="shared" si="5"/>
        <v>0</v>
      </c>
    </row>
    <row r="120" spans="1:8">
      <c r="A120" s="10" t="s">
        <v>450</v>
      </c>
      <c r="B120" s="10" t="s">
        <v>451</v>
      </c>
      <c r="C120" s="39"/>
      <c r="D120" s="39"/>
      <c r="E120" s="39"/>
      <c r="F120" s="39"/>
      <c r="G120" s="39"/>
      <c r="H120" s="41">
        <f t="shared" si="5"/>
        <v>0</v>
      </c>
    </row>
    <row r="121" spans="1:8">
      <c r="A121" s="10" t="s">
        <v>52</v>
      </c>
      <c r="B121" s="10" t="s">
        <v>53</v>
      </c>
      <c r="C121" s="40"/>
      <c r="D121" s="40"/>
      <c r="E121" s="40"/>
      <c r="F121" s="40"/>
      <c r="G121" s="39"/>
      <c r="H121" s="95">
        <f t="shared" si="5"/>
        <v>0</v>
      </c>
    </row>
    <row r="122" spans="1:8">
      <c r="B122" s="10" t="s">
        <v>242</v>
      </c>
      <c r="C122" s="39">
        <f>SUM(C108:C121)</f>
        <v>12767.5</v>
      </c>
      <c r="D122" s="39">
        <f>SUM(D108:D121)</f>
        <v>51070</v>
      </c>
      <c r="E122" s="39">
        <f>SUM(E108:E121)</f>
        <v>31918.75</v>
      </c>
      <c r="F122" s="39">
        <f>SUM(F108:F121)</f>
        <v>31918.75</v>
      </c>
      <c r="G122" s="39"/>
      <c r="H122" s="41">
        <f>SUM(H108:H121)</f>
        <v>127675</v>
      </c>
    </row>
    <row r="123" spans="1:8">
      <c r="C123" s="39"/>
      <c r="D123" s="39"/>
      <c r="E123" s="39"/>
      <c r="F123" s="39"/>
      <c r="G123" s="39"/>
      <c r="H123" s="41"/>
    </row>
    <row r="124" spans="1:8">
      <c r="A124" s="10" t="s">
        <v>243</v>
      </c>
      <c r="C124" s="39"/>
      <c r="D124" s="39"/>
      <c r="E124" s="39"/>
      <c r="F124" s="39"/>
      <c r="G124" s="39"/>
      <c r="H124" s="41"/>
    </row>
    <row r="125" spans="1:8">
      <c r="A125" s="10" t="s">
        <v>56</v>
      </c>
      <c r="B125" s="10" t="s">
        <v>246</v>
      </c>
      <c r="C125" s="39"/>
      <c r="D125" s="39"/>
      <c r="E125" s="39"/>
      <c r="F125" s="39"/>
      <c r="G125" s="39"/>
      <c r="H125" s="41">
        <f t="shared" ref="H125:H132" si="6">+SUM(C125:G125)</f>
        <v>0</v>
      </c>
    </row>
    <row r="126" spans="1:8">
      <c r="A126" s="10" t="s">
        <v>57</v>
      </c>
      <c r="B126" s="10" t="s">
        <v>247</v>
      </c>
      <c r="C126" s="39"/>
      <c r="D126" s="39"/>
      <c r="E126" s="39"/>
      <c r="F126" s="39"/>
      <c r="G126" s="39"/>
      <c r="H126" s="41">
        <f t="shared" si="6"/>
        <v>0</v>
      </c>
    </row>
    <row r="127" spans="1:8">
      <c r="A127" s="10" t="s">
        <v>58</v>
      </c>
      <c r="B127" s="10" t="s">
        <v>248</v>
      </c>
      <c r="C127" s="39"/>
      <c r="D127" s="39"/>
      <c r="E127" s="39"/>
      <c r="F127" s="39"/>
      <c r="G127" s="39"/>
      <c r="H127" s="41">
        <f t="shared" si="6"/>
        <v>0</v>
      </c>
    </row>
    <row r="128" spans="1:8">
      <c r="A128" s="10" t="s">
        <v>55</v>
      </c>
      <c r="B128" s="10" t="s">
        <v>245</v>
      </c>
      <c r="C128" s="39"/>
      <c r="D128" s="39"/>
      <c r="E128" s="39"/>
      <c r="F128" s="39"/>
      <c r="G128" s="39"/>
      <c r="H128" s="41">
        <f t="shared" si="6"/>
        <v>0</v>
      </c>
    </row>
    <row r="129" spans="1:8" ht="10.5" customHeight="1">
      <c r="A129" s="10" t="s">
        <v>54</v>
      </c>
      <c r="B129" s="10" t="s">
        <v>244</v>
      </c>
      <c r="C129" s="39"/>
      <c r="D129" s="39"/>
      <c r="E129" s="39"/>
      <c r="F129" s="39"/>
      <c r="G129" s="39"/>
      <c r="H129" s="41">
        <f t="shared" si="6"/>
        <v>0</v>
      </c>
    </row>
    <row r="130" spans="1:8">
      <c r="A130" s="10" t="s">
        <v>60</v>
      </c>
      <c r="B130" s="10" t="s">
        <v>61</v>
      </c>
      <c r="C130" s="39"/>
      <c r="D130" s="39"/>
      <c r="E130" s="39"/>
      <c r="F130" s="39"/>
      <c r="G130" s="39"/>
      <c r="H130" s="41">
        <f t="shared" si="6"/>
        <v>0</v>
      </c>
    </row>
    <row r="131" spans="1:8">
      <c r="A131" s="10" t="s">
        <v>448</v>
      </c>
      <c r="B131" s="10" t="s">
        <v>449</v>
      </c>
      <c r="C131" s="39"/>
      <c r="D131" s="39"/>
      <c r="E131" s="39"/>
      <c r="F131" s="39"/>
      <c r="G131" s="39"/>
      <c r="H131" s="41">
        <f t="shared" si="6"/>
        <v>0</v>
      </c>
    </row>
    <row r="132" spans="1:8">
      <c r="A132" s="10" t="s">
        <v>62</v>
      </c>
      <c r="B132" s="10" t="s">
        <v>249</v>
      </c>
      <c r="C132" s="40"/>
      <c r="D132" s="40"/>
      <c r="E132" s="40"/>
      <c r="F132" s="40"/>
      <c r="G132" s="39"/>
      <c r="H132" s="95">
        <f t="shared" si="6"/>
        <v>0</v>
      </c>
    </row>
    <row r="133" spans="1:8">
      <c r="B133" s="10" t="s">
        <v>250</v>
      </c>
      <c r="C133" s="39">
        <f>SUM(C125:C132)</f>
        <v>0</v>
      </c>
      <c r="D133" s="39">
        <f>SUM(D125:D132)</f>
        <v>0</v>
      </c>
      <c r="E133" s="39">
        <f>SUM(E125:E132)</f>
        <v>0</v>
      </c>
      <c r="F133" s="39">
        <f>SUM(F125:F132)</f>
        <v>0</v>
      </c>
      <c r="G133" s="39"/>
      <c r="H133" s="41">
        <f>SUM(H125:H132)</f>
        <v>0</v>
      </c>
    </row>
    <row r="134" spans="1:8">
      <c r="C134" s="39"/>
      <c r="D134" s="39"/>
      <c r="E134" s="39"/>
      <c r="F134" s="39"/>
      <c r="G134" s="39"/>
      <c r="H134" s="41"/>
    </row>
    <row r="135" spans="1:8">
      <c r="A135" s="10" t="s">
        <v>251</v>
      </c>
      <c r="C135" s="39"/>
      <c r="D135" s="39"/>
      <c r="E135" s="39"/>
      <c r="F135" s="39"/>
      <c r="G135" s="39"/>
      <c r="H135" s="41"/>
    </row>
    <row r="136" spans="1:8">
      <c r="A136" s="10" t="s">
        <v>252</v>
      </c>
      <c r="C136" s="39"/>
      <c r="D136" s="39"/>
      <c r="E136" s="39"/>
      <c r="F136" s="39"/>
      <c r="G136" s="39"/>
      <c r="H136" s="41"/>
    </row>
    <row r="137" spans="1:8">
      <c r="A137" s="10" t="s">
        <v>63</v>
      </c>
      <c r="B137" s="10" t="s">
        <v>253</v>
      </c>
      <c r="C137" s="39"/>
      <c r="D137" s="39"/>
      <c r="E137" s="39"/>
      <c r="F137" s="39"/>
      <c r="G137" s="39"/>
      <c r="H137" s="41">
        <f>+SUM(C137:G137)</f>
        <v>0</v>
      </c>
    </row>
    <row r="138" spans="1:8">
      <c r="A138" s="10" t="s">
        <v>64</v>
      </c>
      <c r="B138" s="10" t="s">
        <v>254</v>
      </c>
      <c r="C138" s="39"/>
      <c r="D138" s="39"/>
      <c r="E138" s="39"/>
      <c r="F138" s="39"/>
      <c r="G138" s="39"/>
      <c r="H138" s="41">
        <f>+SUM(C138:G138)</f>
        <v>0</v>
      </c>
    </row>
    <row r="139" spans="1:8">
      <c r="A139" s="10" t="s">
        <v>454</v>
      </c>
      <c r="B139" s="10" t="s">
        <v>455</v>
      </c>
      <c r="C139" s="39"/>
      <c r="D139" s="39"/>
      <c r="E139" s="39"/>
      <c r="F139" s="39"/>
      <c r="G139" s="39"/>
      <c r="H139" s="41">
        <f>+SUM(C139:G139)</f>
        <v>0</v>
      </c>
    </row>
    <row r="140" spans="1:8">
      <c r="A140" s="10" t="s">
        <v>65</v>
      </c>
      <c r="B140" s="10" t="s">
        <v>255</v>
      </c>
      <c r="C140" s="40"/>
      <c r="D140" s="40"/>
      <c r="E140" s="40"/>
      <c r="F140" s="40"/>
      <c r="G140" s="39"/>
      <c r="H140" s="95">
        <f>+SUM(C140:G140)</f>
        <v>0</v>
      </c>
    </row>
    <row r="141" spans="1:8">
      <c r="B141" s="10" t="s">
        <v>256</v>
      </c>
      <c r="C141" s="39">
        <f>SUM(C137:C140)</f>
        <v>0</v>
      </c>
      <c r="D141" s="39">
        <f>SUM(D137:D140)</f>
        <v>0</v>
      </c>
      <c r="E141" s="39">
        <f>SUM(E137:E140)</f>
        <v>0</v>
      </c>
      <c r="F141" s="39">
        <f>SUM(F137:F140)</f>
        <v>0</v>
      </c>
      <c r="G141" s="39"/>
      <c r="H141" s="41">
        <f>SUM(H137:H140)</f>
        <v>0</v>
      </c>
    </row>
    <row r="142" spans="1:8">
      <c r="C142" s="39"/>
      <c r="D142" s="39"/>
      <c r="E142" s="39"/>
      <c r="F142" s="39"/>
      <c r="G142" s="39"/>
      <c r="H142" s="41"/>
    </row>
    <row r="143" spans="1:8">
      <c r="A143" s="10" t="s">
        <v>257</v>
      </c>
      <c r="C143" s="39"/>
      <c r="D143" s="39"/>
      <c r="E143" s="39"/>
      <c r="F143" s="39"/>
      <c r="G143" s="39"/>
      <c r="H143" s="41"/>
    </row>
    <row r="144" spans="1:8">
      <c r="A144" s="10" t="s">
        <v>66</v>
      </c>
      <c r="B144" s="10" t="s">
        <v>258</v>
      </c>
      <c r="C144" s="39">
        <v>5248.8</v>
      </c>
      <c r="D144" s="39">
        <v>4496.3999999999996</v>
      </c>
      <c r="E144" s="39">
        <v>2622.9</v>
      </c>
      <c r="F144" s="39">
        <v>5245.8</v>
      </c>
      <c r="G144" s="39"/>
      <c r="H144" s="41">
        <f t="shared" ref="H144:H149" si="7">+SUM(C144:G144)</f>
        <v>17613.900000000001</v>
      </c>
    </row>
    <row r="145" spans="1:8">
      <c r="A145" s="10" t="s">
        <v>67</v>
      </c>
      <c r="B145" s="10" t="s">
        <v>259</v>
      </c>
      <c r="C145" s="39"/>
      <c r="D145" s="39"/>
      <c r="E145" s="39"/>
      <c r="F145" s="39"/>
      <c r="G145" s="39"/>
      <c r="H145" s="41">
        <f t="shared" si="7"/>
        <v>0</v>
      </c>
    </row>
    <row r="146" spans="1:8">
      <c r="A146" s="10" t="s">
        <v>68</v>
      </c>
      <c r="B146" s="10" t="s">
        <v>260</v>
      </c>
      <c r="C146" s="39">
        <f>((60*12*2)+(40*12))*0.1</f>
        <v>192</v>
      </c>
      <c r="D146" s="39">
        <f>((60*12*2)+(40*12))*0.4</f>
        <v>768</v>
      </c>
      <c r="E146" s="39">
        <f>((60*12*2)+(40*12))*0.25</f>
        <v>480</v>
      </c>
      <c r="F146" s="39">
        <f>((60*12*2)+(40*12))*0.25</f>
        <v>480</v>
      </c>
      <c r="G146" s="39"/>
      <c r="H146" s="41">
        <f t="shared" si="7"/>
        <v>1920</v>
      </c>
    </row>
    <row r="147" spans="1:8">
      <c r="A147" s="10" t="s">
        <v>69</v>
      </c>
      <c r="B147" s="10" t="s">
        <v>261</v>
      </c>
      <c r="C147" s="39">
        <f>(1200+500+500)*12*0.1</f>
        <v>2640</v>
      </c>
      <c r="D147" s="39">
        <f>(1200+500+500)*12*0.4</f>
        <v>10560</v>
      </c>
      <c r="E147" s="39">
        <f>(1200+500+500)*12*0.25</f>
        <v>6600</v>
      </c>
      <c r="F147" s="39">
        <f>(1200+500+500)*12*0.25</f>
        <v>6600</v>
      </c>
      <c r="G147" s="39"/>
      <c r="H147" s="41">
        <f t="shared" si="7"/>
        <v>26400</v>
      </c>
    </row>
    <row r="148" spans="1:8" ht="12" customHeight="1">
      <c r="A148" s="10" t="s">
        <v>70</v>
      </c>
      <c r="B148" s="10" t="s">
        <v>262</v>
      </c>
      <c r="C148" s="39"/>
      <c r="D148" s="39"/>
      <c r="E148" s="39"/>
      <c r="F148" s="39"/>
      <c r="G148" s="39"/>
      <c r="H148" s="41">
        <f t="shared" si="7"/>
        <v>0</v>
      </c>
    </row>
    <row r="149" spans="1:8">
      <c r="A149" s="10" t="s">
        <v>462</v>
      </c>
      <c r="B149" s="10" t="s">
        <v>464</v>
      </c>
      <c r="C149" s="40">
        <f>(2800+455+6200+15000)*0.1</f>
        <v>2445.5</v>
      </c>
      <c r="D149" s="40">
        <f>(2800+455+6200+15000)*0.4</f>
        <v>9782</v>
      </c>
      <c r="E149" s="40">
        <f>(2800+455+6200+15000)*0.25</f>
        <v>6113.75</v>
      </c>
      <c r="F149" s="40">
        <f>(2800+455+6200+15000)*0.25</f>
        <v>6113.75</v>
      </c>
      <c r="G149" s="39"/>
      <c r="H149" s="95">
        <f t="shared" si="7"/>
        <v>24455</v>
      </c>
    </row>
    <row r="150" spans="1:8">
      <c r="B150" s="10" t="s">
        <v>263</v>
      </c>
      <c r="C150" s="39">
        <f>SUM(C144:C149)</f>
        <v>10526.3</v>
      </c>
      <c r="D150" s="39">
        <f>SUM(D144:D149)</f>
        <v>25606.400000000001</v>
      </c>
      <c r="E150" s="39">
        <f>SUM(E144:E149)</f>
        <v>15816.65</v>
      </c>
      <c r="F150" s="39">
        <f>SUM(F144:F149)</f>
        <v>18439.55</v>
      </c>
      <c r="G150" s="39"/>
      <c r="H150" s="41">
        <f>SUM(H144:H149)</f>
        <v>70388.899999999994</v>
      </c>
    </row>
    <row r="151" spans="1:8">
      <c r="C151" s="39"/>
      <c r="D151" s="39"/>
      <c r="E151" s="39"/>
      <c r="F151" s="39"/>
      <c r="G151" s="39"/>
      <c r="H151" s="41"/>
    </row>
    <row r="152" spans="1:8">
      <c r="A152" s="10" t="s">
        <v>264</v>
      </c>
      <c r="C152" s="39"/>
      <c r="D152" s="39"/>
      <c r="E152" s="39"/>
      <c r="F152" s="39"/>
      <c r="G152" s="39"/>
      <c r="H152" s="41"/>
    </row>
    <row r="153" spans="1:8">
      <c r="A153" s="10" t="s">
        <v>265</v>
      </c>
      <c r="C153" s="39"/>
      <c r="D153" s="39"/>
      <c r="E153" s="39"/>
      <c r="F153" s="39"/>
      <c r="G153" s="39"/>
      <c r="H153" s="41"/>
    </row>
    <row r="154" spans="1:8">
      <c r="A154" s="10" t="s">
        <v>71</v>
      </c>
      <c r="B154" s="10" t="s">
        <v>72</v>
      </c>
      <c r="C154" s="40">
        <f>2500*0.1</f>
        <v>250</v>
      </c>
      <c r="D154" s="40">
        <f>2500*0.4</f>
        <v>1000</v>
      </c>
      <c r="E154" s="40">
        <f>2500*0.25</f>
        <v>625</v>
      </c>
      <c r="F154" s="40">
        <f>2500*0.2</f>
        <v>500</v>
      </c>
      <c r="G154" s="39"/>
      <c r="H154" s="95">
        <f>+SUM(C154:G154)</f>
        <v>2375</v>
      </c>
    </row>
    <row r="155" spans="1:8">
      <c r="B155" s="10" t="s">
        <v>266</v>
      </c>
      <c r="C155" s="39">
        <f>SUM(C154)</f>
        <v>250</v>
      </c>
      <c r="D155" s="39">
        <f>SUM(D154)</f>
        <v>1000</v>
      </c>
      <c r="E155" s="39">
        <f>SUM(E154)</f>
        <v>625</v>
      </c>
      <c r="F155" s="39">
        <f>SUM(F154)</f>
        <v>500</v>
      </c>
      <c r="G155" s="39"/>
      <c r="H155" s="41">
        <f>SUM(H154)</f>
        <v>2375</v>
      </c>
    </row>
    <row r="156" spans="1:8">
      <c r="C156" s="39"/>
      <c r="D156" s="39"/>
      <c r="E156" s="39"/>
      <c r="F156" s="39"/>
      <c r="G156" s="39"/>
      <c r="H156" s="41"/>
    </row>
    <row r="157" spans="1:8">
      <c r="A157" s="10" t="s">
        <v>267</v>
      </c>
      <c r="C157" s="39"/>
      <c r="D157" s="39"/>
      <c r="E157" s="39"/>
      <c r="F157" s="39"/>
      <c r="G157" s="39"/>
      <c r="H157" s="41"/>
    </row>
    <row r="158" spans="1:8">
      <c r="A158" s="10" t="s">
        <v>73</v>
      </c>
      <c r="B158" s="10" t="s">
        <v>74</v>
      </c>
      <c r="C158" s="39">
        <v>1000</v>
      </c>
      <c r="D158" s="39"/>
      <c r="E158" s="39"/>
      <c r="F158" s="39"/>
      <c r="G158" s="172"/>
      <c r="H158" s="41">
        <f t="shared" ref="H158:H170" si="8">+SUM(C158:G158)</f>
        <v>1000</v>
      </c>
    </row>
    <row r="159" spans="1:8">
      <c r="A159" s="10" t="s">
        <v>75</v>
      </c>
      <c r="B159" s="10" t="s">
        <v>154</v>
      </c>
      <c r="C159" s="39"/>
      <c r="D159" s="39"/>
      <c r="E159" s="39"/>
      <c r="F159" s="39">
        <v>3000</v>
      </c>
      <c r="G159" s="39"/>
      <c r="H159" s="41">
        <f t="shared" si="8"/>
        <v>3000</v>
      </c>
    </row>
    <row r="160" spans="1:8">
      <c r="A160" s="10" t="s">
        <v>456</v>
      </c>
      <c r="B160" s="10" t="s">
        <v>97</v>
      </c>
      <c r="C160" s="39"/>
      <c r="D160" s="39"/>
      <c r="E160" s="39"/>
      <c r="F160" s="39"/>
      <c r="G160" s="39"/>
      <c r="H160" s="41">
        <f t="shared" si="8"/>
        <v>0</v>
      </c>
    </row>
    <row r="161" spans="1:8">
      <c r="A161" s="10" t="s">
        <v>457</v>
      </c>
      <c r="B161" s="10" t="s">
        <v>458</v>
      </c>
      <c r="C161" s="39">
        <f>200*12*0.1</f>
        <v>240</v>
      </c>
      <c r="D161" s="39">
        <f>200*12*0.4</f>
        <v>960</v>
      </c>
      <c r="E161" s="39">
        <f>200*12*0.25</f>
        <v>600</v>
      </c>
      <c r="F161" s="39">
        <f>200*12*0.25</f>
        <v>600</v>
      </c>
      <c r="G161" s="39" t="s">
        <v>463</v>
      </c>
      <c r="H161" s="41">
        <f t="shared" si="8"/>
        <v>2400</v>
      </c>
    </row>
    <row r="162" spans="1:8">
      <c r="A162" s="10" t="s">
        <v>459</v>
      </c>
      <c r="B162" s="10" t="s">
        <v>460</v>
      </c>
      <c r="C162" s="39">
        <v>36263</v>
      </c>
      <c r="D162" s="39">
        <f>199530*0.835</f>
        <v>166607.54999999999</v>
      </c>
      <c r="E162" s="39">
        <f>138860+9500</f>
        <v>148360</v>
      </c>
      <c r="F162" s="39">
        <f>157878*0.655</f>
        <v>103410.09000000001</v>
      </c>
      <c r="G162" s="39"/>
      <c r="H162" s="41">
        <f t="shared" si="8"/>
        <v>454640.64000000001</v>
      </c>
    </row>
    <row r="163" spans="1:8">
      <c r="A163" s="10" t="s">
        <v>452</v>
      </c>
      <c r="B163" s="10" t="s">
        <v>453</v>
      </c>
      <c r="C163" s="39"/>
      <c r="D163" s="39"/>
      <c r="E163" s="39"/>
      <c r="F163" s="39"/>
      <c r="G163" s="39"/>
      <c r="H163" s="41">
        <f>+SUM(C163:G163)</f>
        <v>0</v>
      </c>
    </row>
    <row r="164" spans="1:8">
      <c r="A164" s="10" t="s">
        <v>76</v>
      </c>
      <c r="B164" s="10" t="s">
        <v>155</v>
      </c>
      <c r="C164" s="39"/>
      <c r="D164" s="39"/>
      <c r="E164" s="39"/>
      <c r="F164" s="39"/>
      <c r="G164" s="39"/>
      <c r="H164" s="41">
        <f t="shared" si="8"/>
        <v>0</v>
      </c>
    </row>
    <row r="165" spans="1:8">
      <c r="A165" s="10" t="s">
        <v>79</v>
      </c>
      <c r="B165" s="10" t="s">
        <v>156</v>
      </c>
      <c r="C165" s="39"/>
      <c r="D165" s="39"/>
      <c r="E165" s="39"/>
      <c r="F165" s="39"/>
      <c r="G165" s="39"/>
      <c r="H165" s="41">
        <f t="shared" si="8"/>
        <v>0</v>
      </c>
    </row>
    <row r="166" spans="1:8">
      <c r="A166" s="10" t="s">
        <v>78</v>
      </c>
      <c r="B166" s="10" t="s">
        <v>157</v>
      </c>
      <c r="C166" s="39"/>
      <c r="D166" s="39"/>
      <c r="E166" s="39"/>
      <c r="F166" s="39"/>
      <c r="G166" s="39"/>
      <c r="H166" s="41">
        <f t="shared" si="8"/>
        <v>0</v>
      </c>
    </row>
    <row r="167" spans="1:8">
      <c r="A167" s="10" t="s">
        <v>77</v>
      </c>
      <c r="B167" s="10" t="s">
        <v>158</v>
      </c>
      <c r="C167" s="39"/>
      <c r="D167" s="39"/>
      <c r="E167" s="39"/>
      <c r="F167" s="39"/>
      <c r="G167" s="39"/>
      <c r="H167" s="41">
        <f t="shared" si="8"/>
        <v>0</v>
      </c>
    </row>
    <row r="168" spans="1:8">
      <c r="A168" s="10" t="s">
        <v>80</v>
      </c>
      <c r="B168" s="10" t="s">
        <v>159</v>
      </c>
      <c r="C168" s="39"/>
      <c r="D168" s="39"/>
      <c r="E168" s="39"/>
      <c r="F168" s="39"/>
      <c r="G168" s="39"/>
      <c r="H168" s="41">
        <f t="shared" si="8"/>
        <v>0</v>
      </c>
    </row>
    <row r="169" spans="1:8">
      <c r="A169" s="10" t="s">
        <v>81</v>
      </c>
      <c r="B169" s="10" t="s">
        <v>160</v>
      </c>
      <c r="C169" s="39"/>
      <c r="D169" s="39"/>
      <c r="E169" s="39"/>
      <c r="F169" s="39"/>
      <c r="G169" s="39"/>
      <c r="H169" s="41">
        <f t="shared" si="8"/>
        <v>0</v>
      </c>
    </row>
    <row r="170" spans="1:8">
      <c r="A170" s="10" t="s">
        <v>161</v>
      </c>
      <c r="B170" s="10" t="s">
        <v>162</v>
      </c>
      <c r="C170" s="40"/>
      <c r="D170" s="40"/>
      <c r="E170" s="40"/>
      <c r="F170" s="40"/>
      <c r="G170" s="39"/>
      <c r="H170" s="95">
        <f t="shared" si="8"/>
        <v>0</v>
      </c>
    </row>
    <row r="171" spans="1:8">
      <c r="B171" s="10" t="s">
        <v>163</v>
      </c>
      <c r="C171" s="39">
        <f>SUM(C158:C170)</f>
        <v>37503</v>
      </c>
      <c r="D171" s="39">
        <f>SUM(D158:D170)</f>
        <v>167567.54999999999</v>
      </c>
      <c r="E171" s="39">
        <f>SUM(E158:E170)</f>
        <v>148960</v>
      </c>
      <c r="F171" s="39">
        <f>SUM(F158:F170)</f>
        <v>107010.09000000001</v>
      </c>
      <c r="G171" s="39"/>
      <c r="H171" s="41">
        <f>SUM(H158:H170)</f>
        <v>461040.64000000001</v>
      </c>
    </row>
    <row r="172" spans="1:8">
      <c r="C172" s="39"/>
      <c r="D172" s="39"/>
      <c r="E172" s="39"/>
      <c r="F172" s="39"/>
      <c r="G172" s="39"/>
      <c r="H172" s="41"/>
    </row>
    <row r="173" spans="1:8">
      <c r="A173" s="10" t="s">
        <v>164</v>
      </c>
      <c r="C173" s="39"/>
      <c r="D173" s="39"/>
      <c r="E173" s="39"/>
      <c r="F173" s="39"/>
      <c r="G173" s="39"/>
      <c r="H173" s="41"/>
    </row>
    <row r="174" spans="1:8">
      <c r="A174" s="10" t="s">
        <v>165</v>
      </c>
      <c r="C174" s="39"/>
      <c r="D174" s="39"/>
      <c r="E174" s="39"/>
      <c r="F174" s="39"/>
      <c r="G174" s="39"/>
      <c r="H174" s="41"/>
    </row>
    <row r="175" spans="1:8">
      <c r="A175" s="10" t="s">
        <v>86</v>
      </c>
      <c r="B175" s="10" t="s">
        <v>85</v>
      </c>
      <c r="C175" s="39"/>
      <c r="D175" s="39"/>
      <c r="E175" s="39"/>
      <c r="F175" s="39"/>
      <c r="G175" s="39"/>
      <c r="H175" s="41">
        <f t="shared" ref="H175:H185" si="9">+SUM(C175:G175)</f>
        <v>0</v>
      </c>
    </row>
    <row r="176" spans="1:8">
      <c r="A176" s="10" t="s">
        <v>91</v>
      </c>
      <c r="B176" s="10" t="s">
        <v>92</v>
      </c>
      <c r="C176" s="39"/>
      <c r="D176" s="39"/>
      <c r="E176" s="39"/>
      <c r="F176" s="39"/>
      <c r="G176" s="39"/>
      <c r="H176" s="41">
        <f t="shared" si="9"/>
        <v>0</v>
      </c>
    </row>
    <row r="177" spans="1:8">
      <c r="A177" s="10" t="s">
        <v>93</v>
      </c>
      <c r="B177" s="10" t="s">
        <v>94</v>
      </c>
      <c r="C177" s="39"/>
      <c r="D177" s="39"/>
      <c r="E177" s="39"/>
      <c r="F177" s="39"/>
      <c r="G177" s="39"/>
      <c r="H177" s="41">
        <f t="shared" si="9"/>
        <v>0</v>
      </c>
    </row>
    <row r="178" spans="1:8">
      <c r="A178" s="10" t="s">
        <v>95</v>
      </c>
      <c r="B178" s="10" t="s">
        <v>432</v>
      </c>
      <c r="C178" s="39"/>
      <c r="D178" s="39"/>
      <c r="E178" s="39"/>
      <c r="F178" s="39"/>
      <c r="G178" s="39"/>
      <c r="H178" s="41">
        <f t="shared" si="9"/>
        <v>0</v>
      </c>
    </row>
    <row r="179" spans="1:8">
      <c r="A179" s="10" t="s">
        <v>96</v>
      </c>
      <c r="B179" s="10" t="s">
        <v>431</v>
      </c>
      <c r="C179" s="54">
        <v>10000</v>
      </c>
      <c r="D179" s="39"/>
      <c r="E179" s="39">
        <f>5810</f>
        <v>5810</v>
      </c>
      <c r="F179" s="39"/>
      <c r="G179" s="39"/>
      <c r="H179" s="41">
        <f t="shared" si="9"/>
        <v>15810</v>
      </c>
    </row>
    <row r="180" spans="1:8">
      <c r="A180" s="10" t="s">
        <v>98</v>
      </c>
      <c r="B180" s="10" t="s">
        <v>99</v>
      </c>
      <c r="C180" s="39"/>
      <c r="D180" s="39"/>
      <c r="E180" s="39"/>
      <c r="F180" s="39"/>
      <c r="G180" s="39"/>
      <c r="H180" s="41">
        <f t="shared" si="9"/>
        <v>0</v>
      </c>
    </row>
    <row r="181" spans="1:8">
      <c r="A181" s="10" t="s">
        <v>100</v>
      </c>
      <c r="B181" s="10" t="s">
        <v>287</v>
      </c>
      <c r="C181" s="39"/>
      <c r="D181" s="39"/>
      <c r="E181" s="39"/>
      <c r="F181" s="39"/>
      <c r="G181" s="39"/>
      <c r="H181" s="41">
        <f t="shared" si="9"/>
        <v>0</v>
      </c>
    </row>
    <row r="182" spans="1:8">
      <c r="A182" s="10" t="s">
        <v>101</v>
      </c>
      <c r="B182" s="10" t="s">
        <v>102</v>
      </c>
      <c r="C182" s="39"/>
      <c r="D182" s="39"/>
      <c r="E182" s="39"/>
      <c r="F182" s="39"/>
      <c r="G182" s="39"/>
      <c r="H182" s="41">
        <f t="shared" si="9"/>
        <v>0</v>
      </c>
    </row>
    <row r="183" spans="1:8">
      <c r="A183" s="10" t="s">
        <v>105</v>
      </c>
      <c r="B183" s="10" t="s">
        <v>167</v>
      </c>
      <c r="C183" s="39"/>
      <c r="D183" s="39"/>
      <c r="E183" s="39"/>
      <c r="F183" s="39"/>
      <c r="G183" s="39"/>
      <c r="H183" s="41">
        <f t="shared" si="9"/>
        <v>0</v>
      </c>
    </row>
    <row r="184" spans="1:8">
      <c r="A184" s="10" t="s">
        <v>106</v>
      </c>
      <c r="B184" s="10" t="s">
        <v>107</v>
      </c>
      <c r="C184" s="39">
        <f ca="1">+CAMP!C183</f>
        <v>0</v>
      </c>
      <c r="D184" s="39">
        <f ca="1">+CAMP!D183</f>
        <v>0</v>
      </c>
      <c r="E184" s="39">
        <f ca="1">+CAMP!E183</f>
        <v>0</v>
      </c>
      <c r="F184" s="39">
        <f ca="1">+CAMP!F183</f>
        <v>0</v>
      </c>
      <c r="G184" s="39"/>
      <c r="H184" s="41">
        <f t="shared" si="9"/>
        <v>0</v>
      </c>
    </row>
    <row r="185" spans="1:8">
      <c r="A185" s="10" t="s">
        <v>465</v>
      </c>
      <c r="B185" s="10" t="s">
        <v>466</v>
      </c>
      <c r="C185" s="40">
        <f ca="1">+CAMP!C185</f>
        <v>0</v>
      </c>
      <c r="D185" s="40">
        <f ca="1">+CAMP!D185</f>
        <v>0</v>
      </c>
      <c r="E185" s="40">
        <f ca="1">+CAMP!E185</f>
        <v>0</v>
      </c>
      <c r="F185" s="40">
        <f ca="1">+CAMP!F185</f>
        <v>0</v>
      </c>
      <c r="G185" s="39"/>
      <c r="H185" s="95">
        <f t="shared" si="9"/>
        <v>0</v>
      </c>
    </row>
    <row r="186" spans="1:8">
      <c r="B186" s="10" t="s">
        <v>168</v>
      </c>
      <c r="C186" s="39">
        <f>SUM(C175:C185)</f>
        <v>10000</v>
      </c>
      <c r="D186" s="39">
        <f>SUM(D175:D185)</f>
        <v>0</v>
      </c>
      <c r="E186" s="39">
        <f>SUM(E175:E185)</f>
        <v>5810</v>
      </c>
      <c r="F186" s="39">
        <f>SUM(F175:F185)</f>
        <v>0</v>
      </c>
      <c r="G186" s="39"/>
      <c r="H186" s="41">
        <f>SUM(H175:H185)</f>
        <v>15810</v>
      </c>
    </row>
    <row r="187" spans="1:8">
      <c r="C187" s="39"/>
      <c r="D187" s="39"/>
      <c r="E187" s="39"/>
      <c r="F187" s="39"/>
      <c r="G187" s="39"/>
      <c r="H187" s="41"/>
    </row>
    <row r="188" spans="1:8" s="4" customFormat="1" ht="10.5">
      <c r="A188" s="14"/>
      <c r="B188" s="14" t="s">
        <v>169</v>
      </c>
      <c r="C188" s="41">
        <f>+C122+C133+C141+C150+C155+C171+C186</f>
        <v>71046.8</v>
      </c>
      <c r="D188" s="41">
        <f>+D122+D133+D141+D150+D155+D171+D186</f>
        <v>245243.94999999998</v>
      </c>
      <c r="E188" s="41">
        <f>+E122+E133+E141+E150+E155+E171+E186</f>
        <v>203130.4</v>
      </c>
      <c r="F188" s="41">
        <f>+F122+F133+F141+F150+F155+F171+F186</f>
        <v>157868.39000000001</v>
      </c>
      <c r="G188" s="41"/>
      <c r="H188" s="41">
        <f>+SUM(C188:G188)</f>
        <v>677289.54</v>
      </c>
    </row>
    <row r="189" spans="1:8">
      <c r="C189" s="39"/>
      <c r="D189" s="39"/>
      <c r="E189" s="39"/>
      <c r="F189" s="39"/>
      <c r="G189" s="39"/>
      <c r="H189" s="41"/>
    </row>
    <row r="190" spans="1:8">
      <c r="C190" s="39"/>
      <c r="D190" s="39"/>
      <c r="E190" s="39"/>
      <c r="F190" s="39"/>
      <c r="G190" s="39"/>
      <c r="H190" s="41"/>
    </row>
    <row r="191" spans="1:8" s="4" customFormat="1" ht="10.5">
      <c r="A191" s="14">
        <f>+SUM(C191:G191)</f>
        <v>-650558.42334203573</v>
      </c>
      <c r="B191" s="14" t="s">
        <v>170</v>
      </c>
      <c r="C191" s="41">
        <f>+C68-C104-C188</f>
        <v>-52925.262034203581</v>
      </c>
      <c r="D191" s="41">
        <f>+D68-D104-D188</f>
        <v>-245051.62213681429</v>
      </c>
      <c r="E191" s="41">
        <f>+E68-E104-E188</f>
        <v>-199257.05308550893</v>
      </c>
      <c r="F191" s="41">
        <f>+F68-F104-F188</f>
        <v>-153324.48608550895</v>
      </c>
      <c r="G191" s="41"/>
      <c r="H191" s="41">
        <f>+SUM(C191:G191)</f>
        <v>-650558.42334203573</v>
      </c>
    </row>
  </sheetData>
  <phoneticPr fontId="3" type="noConversion"/>
  <pageMargins left="0.17" right="0.17" top="1.38" bottom="0.5" header="0.17" footer="0.17"/>
  <pageSetup orientation="portrait" r:id="rId1"/>
  <headerFooter alignWithMargins="0">
    <oddHeader>&amp;C&amp;"MS Sans Serif,Bold"&amp;18ISL
BUDGET '12-2013
INFORMATION TECHNOLOGY
&amp;A</oddHeader>
    <oddFooter>&amp;L&amp;6&amp;Z&amp;F&amp;R&amp;P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topLeftCell="A144" workbookViewId="0">
      <selection activeCell="A175" sqref="A175"/>
    </sheetView>
  </sheetViews>
  <sheetFormatPr defaultRowHeight="12.75"/>
  <cols>
    <col min="1" max="1" width="2.28515625" style="3" customWidth="1"/>
    <col min="2" max="2" width="2.42578125" style="3" customWidth="1"/>
    <col min="3" max="3" width="2.7109375" style="3" customWidth="1"/>
    <col min="4" max="4" width="9.140625" style="3"/>
    <col min="5" max="5" width="1.28515625" style="3" customWidth="1"/>
    <col min="6" max="6" width="11.140625" style="3" customWidth="1"/>
    <col min="7" max="7" width="1.28515625" style="3" customWidth="1"/>
    <col min="8" max="8" width="11.42578125" style="3" customWidth="1"/>
    <col min="9" max="9" width="1" style="3" customWidth="1"/>
    <col min="10" max="10" width="10.28515625" style="3" customWidth="1"/>
    <col min="11" max="11" width="0.85546875" style="3" customWidth="1"/>
    <col min="12" max="16384" width="9.140625" style="3"/>
  </cols>
  <sheetData>
    <row r="1" spans="1:13">
      <c r="A1" s="3" t="s">
        <v>134</v>
      </c>
    </row>
    <row r="2" spans="1:13">
      <c r="C2" s="3" t="s">
        <v>109</v>
      </c>
    </row>
    <row r="3" spans="1:13">
      <c r="B3" s="3" t="str">
        <f ca="1">'STF-SCH'!B3</f>
        <v>Level</v>
      </c>
      <c r="D3" s="3" t="s">
        <v>116</v>
      </c>
      <c r="F3" s="3" t="s">
        <v>112</v>
      </c>
      <c r="H3" s="3" t="s">
        <v>113</v>
      </c>
    </row>
    <row r="4" spans="1:13">
      <c r="C4" s="3">
        <v>1</v>
      </c>
      <c r="D4" s="19">
        <f>72019*0.99</f>
        <v>71298.81</v>
      </c>
      <c r="E4" s="19"/>
      <c r="F4" s="19">
        <f>D4+500</f>
        <v>71798.81</v>
      </c>
      <c r="G4" s="19"/>
      <c r="H4" s="19">
        <f>F4+750</f>
        <v>72548.81</v>
      </c>
      <c r="I4" s="19"/>
      <c r="J4" s="19"/>
      <c r="K4" s="19"/>
      <c r="L4" s="19"/>
      <c r="M4" s="19"/>
    </row>
    <row r="5" spans="1:13">
      <c r="C5" s="3">
        <v>2</v>
      </c>
      <c r="D5" s="19">
        <f t="shared" ref="D5:D13" si="0">D4*1.03</f>
        <v>73437.774300000005</v>
      </c>
      <c r="E5" s="19"/>
      <c r="F5" s="19">
        <f t="shared" ref="F5:F13" si="1">D5*1.03</f>
        <v>75640.907529000004</v>
      </c>
      <c r="G5" s="19"/>
      <c r="H5" s="19">
        <f t="shared" ref="H5:H13" si="2">F5*1.03</f>
        <v>77910.13475487</v>
      </c>
      <c r="I5" s="19"/>
      <c r="J5" s="19"/>
      <c r="K5" s="19"/>
      <c r="L5" s="19"/>
      <c r="M5" s="19"/>
    </row>
    <row r="6" spans="1:13">
      <c r="C6" s="3">
        <v>3</v>
      </c>
      <c r="D6" s="19">
        <f t="shared" si="0"/>
        <v>75640.907529000004</v>
      </c>
      <c r="E6" s="19"/>
      <c r="F6" s="19">
        <f t="shared" si="1"/>
        <v>77910.13475487</v>
      </c>
      <c r="G6" s="19"/>
      <c r="H6" s="19">
        <f t="shared" si="2"/>
        <v>80247.438797516108</v>
      </c>
      <c r="I6" s="19"/>
      <c r="J6" s="19"/>
      <c r="K6" s="19"/>
      <c r="L6" s="19"/>
      <c r="M6" s="19"/>
    </row>
    <row r="7" spans="1:13">
      <c r="C7" s="3">
        <v>4</v>
      </c>
      <c r="D7" s="19">
        <f t="shared" si="0"/>
        <v>77910.13475487</v>
      </c>
      <c r="E7" s="19"/>
      <c r="F7" s="19">
        <f t="shared" si="1"/>
        <v>80247.438797516108</v>
      </c>
      <c r="G7" s="19"/>
      <c r="H7" s="19">
        <f t="shared" si="2"/>
        <v>82654.861961441595</v>
      </c>
      <c r="I7" s="19"/>
      <c r="J7" s="19"/>
      <c r="K7" s="19"/>
      <c r="L7" s="19"/>
      <c r="M7" s="19"/>
    </row>
    <row r="8" spans="1:13">
      <c r="C8" s="3">
        <v>5</v>
      </c>
      <c r="D8" s="19">
        <f t="shared" si="0"/>
        <v>80247.438797516108</v>
      </c>
      <c r="E8" s="19"/>
      <c r="F8" s="19">
        <f t="shared" si="1"/>
        <v>82654.861961441595</v>
      </c>
      <c r="G8" s="19"/>
      <c r="H8" s="19">
        <f t="shared" si="2"/>
        <v>85134.507820284838</v>
      </c>
      <c r="I8" s="19"/>
      <c r="J8" s="19"/>
      <c r="K8" s="19"/>
      <c r="L8" s="19"/>
      <c r="M8" s="19"/>
    </row>
    <row r="9" spans="1:13">
      <c r="C9" s="3">
        <v>6</v>
      </c>
      <c r="D9" s="19">
        <f t="shared" si="0"/>
        <v>82654.861961441595</v>
      </c>
      <c r="E9" s="19"/>
      <c r="F9" s="19">
        <f t="shared" si="1"/>
        <v>85134.507820284838</v>
      </c>
      <c r="G9" s="19"/>
      <c r="H9" s="19">
        <f t="shared" si="2"/>
        <v>87688.54305489338</v>
      </c>
      <c r="I9" s="19"/>
      <c r="J9" s="19"/>
      <c r="K9" s="19"/>
      <c r="L9" s="19"/>
      <c r="M9" s="19"/>
    </row>
    <row r="10" spans="1:13">
      <c r="C10" s="3">
        <v>7</v>
      </c>
      <c r="D10" s="19">
        <f t="shared" si="0"/>
        <v>85134.507820284838</v>
      </c>
      <c r="E10" s="19"/>
      <c r="F10" s="19">
        <f t="shared" si="1"/>
        <v>87688.54305489338</v>
      </c>
      <c r="G10" s="19"/>
      <c r="H10" s="19">
        <f t="shared" si="2"/>
        <v>90319.19934654019</v>
      </c>
      <c r="I10" s="19"/>
      <c r="J10" s="19"/>
      <c r="K10" s="19"/>
      <c r="L10" s="19"/>
      <c r="M10" s="19"/>
    </row>
    <row r="11" spans="1:13">
      <c r="C11" s="3">
        <v>8</v>
      </c>
      <c r="D11" s="19">
        <f t="shared" si="0"/>
        <v>87688.54305489338</v>
      </c>
      <c r="E11" s="19"/>
      <c r="F11" s="19">
        <f t="shared" si="1"/>
        <v>90319.19934654019</v>
      </c>
      <c r="G11" s="19"/>
      <c r="H11" s="19">
        <f t="shared" si="2"/>
        <v>93028.775326936404</v>
      </c>
      <c r="I11" s="19"/>
      <c r="J11" s="19"/>
      <c r="K11" s="19"/>
      <c r="L11" s="19"/>
      <c r="M11" s="19"/>
    </row>
    <row r="12" spans="1:13">
      <c r="C12" s="3">
        <v>9</v>
      </c>
      <c r="D12" s="19">
        <f t="shared" si="0"/>
        <v>90319.19934654019</v>
      </c>
      <c r="E12" s="19"/>
      <c r="F12" s="19">
        <f t="shared" si="1"/>
        <v>93028.775326936404</v>
      </c>
      <c r="G12" s="19"/>
      <c r="H12" s="19">
        <f t="shared" si="2"/>
        <v>95819.638586744491</v>
      </c>
      <c r="I12" s="19"/>
      <c r="J12" s="19"/>
      <c r="K12" s="19"/>
      <c r="L12" s="19"/>
      <c r="M12" s="19"/>
    </row>
    <row r="13" spans="1:13">
      <c r="C13" s="3">
        <v>10</v>
      </c>
      <c r="D13" s="19">
        <f t="shared" si="0"/>
        <v>93028.775326936404</v>
      </c>
      <c r="E13" s="19"/>
      <c r="F13" s="19">
        <f t="shared" si="1"/>
        <v>95819.638586744491</v>
      </c>
      <c r="G13" s="19"/>
      <c r="H13" s="19">
        <f t="shared" si="2"/>
        <v>98694.227744346834</v>
      </c>
      <c r="I13" s="19"/>
      <c r="J13" s="19"/>
      <c r="K13" s="19"/>
      <c r="L13" s="19"/>
      <c r="M13" s="19"/>
    </row>
    <row r="14" spans="1:13"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>
      <c r="A16" s="3" t="s">
        <v>135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>
      <c r="C17" s="3" t="s">
        <v>109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>
      <c r="B18" s="3" t="str">
        <f>B3</f>
        <v>Level</v>
      </c>
      <c r="D18" s="19" t="s">
        <v>116</v>
      </c>
      <c r="E18" s="19"/>
      <c r="F18" s="19" t="s">
        <v>112</v>
      </c>
      <c r="G18" s="19"/>
      <c r="H18" s="19" t="s">
        <v>113</v>
      </c>
      <c r="I18" s="19"/>
      <c r="J18" s="19"/>
      <c r="K18" s="19"/>
      <c r="L18" s="19"/>
      <c r="M18" s="19"/>
    </row>
    <row r="19" spans="2:13">
      <c r="C19" s="3">
        <v>1</v>
      </c>
      <c r="D19" s="19">
        <f>47019*0.99</f>
        <v>46548.81</v>
      </c>
      <c r="E19" s="19"/>
      <c r="F19" s="19">
        <f>D19+500</f>
        <v>47048.81</v>
      </c>
      <c r="G19" s="19"/>
      <c r="H19" s="19">
        <f>F19+750</f>
        <v>47798.81</v>
      </c>
      <c r="I19" s="19"/>
      <c r="J19" s="19"/>
      <c r="K19" s="19"/>
      <c r="L19" s="19"/>
      <c r="M19" s="19"/>
    </row>
    <row r="20" spans="2:13">
      <c r="C20" s="3">
        <v>2</v>
      </c>
      <c r="D20" s="19">
        <f t="shared" ref="D20:D34" si="3">D19*1.03</f>
        <v>47945.274299999997</v>
      </c>
      <c r="E20" s="19"/>
      <c r="F20" s="19">
        <f t="shared" ref="F20:F28" si="4">D20*1.03</f>
        <v>49383.632528999995</v>
      </c>
      <c r="G20" s="19"/>
      <c r="H20" s="19">
        <f t="shared" ref="H20:H28" si="5">F20*1.03</f>
        <v>50865.141504869993</v>
      </c>
      <c r="I20" s="19"/>
      <c r="J20" s="19"/>
      <c r="K20" s="19"/>
      <c r="L20" s="19"/>
      <c r="M20" s="19"/>
    </row>
    <row r="21" spans="2:13">
      <c r="C21" s="3">
        <v>3</v>
      </c>
      <c r="D21" s="19">
        <f t="shared" si="3"/>
        <v>49383.632528999995</v>
      </c>
      <c r="E21" s="19"/>
      <c r="F21" s="19">
        <f t="shared" si="4"/>
        <v>50865.141504869993</v>
      </c>
      <c r="G21" s="19"/>
      <c r="H21" s="19">
        <f t="shared" si="5"/>
        <v>52391.095750016095</v>
      </c>
      <c r="I21" s="19"/>
      <c r="J21" s="19"/>
      <c r="K21" s="19"/>
      <c r="L21" s="19"/>
      <c r="M21" s="19"/>
    </row>
    <row r="22" spans="2:13">
      <c r="C22" s="3">
        <v>4</v>
      </c>
      <c r="D22" s="19">
        <f t="shared" si="3"/>
        <v>50865.141504869993</v>
      </c>
      <c r="E22" s="19"/>
      <c r="F22" s="19">
        <f t="shared" si="4"/>
        <v>52391.095750016095</v>
      </c>
      <c r="G22" s="19"/>
      <c r="H22" s="19">
        <f t="shared" si="5"/>
        <v>53962.828622516579</v>
      </c>
      <c r="I22" s="19"/>
      <c r="J22" s="19"/>
      <c r="K22" s="19"/>
      <c r="L22" s="19"/>
      <c r="M22" s="19"/>
    </row>
    <row r="23" spans="2:13">
      <c r="C23" s="3">
        <v>5</v>
      </c>
      <c r="D23" s="19">
        <f t="shared" si="3"/>
        <v>52391.095750016095</v>
      </c>
      <c r="E23" s="19"/>
      <c r="F23" s="19">
        <f t="shared" si="4"/>
        <v>53962.828622516579</v>
      </c>
      <c r="G23" s="19"/>
      <c r="H23" s="19">
        <f t="shared" si="5"/>
        <v>55581.713481192077</v>
      </c>
      <c r="I23" s="19"/>
      <c r="J23" s="19"/>
      <c r="K23" s="19"/>
      <c r="L23" s="19"/>
      <c r="M23" s="19"/>
    </row>
    <row r="24" spans="2:13">
      <c r="C24" s="3">
        <v>6</v>
      </c>
      <c r="D24" s="19">
        <f t="shared" si="3"/>
        <v>53962.828622516579</v>
      </c>
      <c r="E24" s="19"/>
      <c r="F24" s="19">
        <f t="shared" si="4"/>
        <v>55581.713481192077</v>
      </c>
      <c r="G24" s="19"/>
      <c r="H24" s="19">
        <f t="shared" si="5"/>
        <v>57249.164885627841</v>
      </c>
      <c r="I24" s="19"/>
      <c r="J24" s="19"/>
      <c r="K24" s="19"/>
      <c r="L24" s="19"/>
      <c r="M24" s="19"/>
    </row>
    <row r="25" spans="2:13">
      <c r="C25" s="3">
        <v>7</v>
      </c>
      <c r="D25" s="19">
        <f t="shared" si="3"/>
        <v>55581.713481192077</v>
      </c>
      <c r="E25" s="19"/>
      <c r="F25" s="19">
        <f t="shared" si="4"/>
        <v>57249.164885627841</v>
      </c>
      <c r="G25" s="19"/>
      <c r="H25" s="19">
        <f t="shared" si="5"/>
        <v>58966.639832196677</v>
      </c>
      <c r="I25" s="19"/>
      <c r="J25" s="19"/>
      <c r="K25" s="19"/>
      <c r="L25" s="19"/>
      <c r="M25" s="19"/>
    </row>
    <row r="26" spans="2:13">
      <c r="C26" s="3">
        <v>8</v>
      </c>
      <c r="D26" s="19">
        <f t="shared" si="3"/>
        <v>57249.164885627841</v>
      </c>
      <c r="E26" s="19"/>
      <c r="F26" s="19">
        <f t="shared" si="4"/>
        <v>58966.639832196677</v>
      </c>
      <c r="G26" s="19"/>
      <c r="H26" s="19">
        <f t="shared" si="5"/>
        <v>60735.639027162579</v>
      </c>
      <c r="I26" s="19"/>
      <c r="J26" s="19"/>
      <c r="K26" s="19"/>
      <c r="L26" s="19"/>
      <c r="M26" s="19"/>
    </row>
    <row r="27" spans="2:13">
      <c r="C27" s="3">
        <v>9</v>
      </c>
      <c r="D27" s="19">
        <f t="shared" si="3"/>
        <v>58966.639832196677</v>
      </c>
      <c r="E27" s="19"/>
      <c r="F27" s="19">
        <f t="shared" si="4"/>
        <v>60735.639027162579</v>
      </c>
      <c r="G27" s="19"/>
      <c r="H27" s="19">
        <f t="shared" si="5"/>
        <v>62557.708197977459</v>
      </c>
      <c r="I27" s="19"/>
      <c r="J27" s="19"/>
      <c r="K27" s="19"/>
      <c r="L27" s="19"/>
      <c r="M27" s="19"/>
    </row>
    <row r="28" spans="2:13">
      <c r="C28" s="3">
        <v>10</v>
      </c>
      <c r="D28" s="19">
        <f t="shared" si="3"/>
        <v>60735.639027162579</v>
      </c>
      <c r="E28" s="19"/>
      <c r="F28" s="19">
        <f t="shared" si="4"/>
        <v>62557.708197977459</v>
      </c>
      <c r="G28" s="19"/>
      <c r="H28" s="19">
        <f t="shared" si="5"/>
        <v>64434.439443916788</v>
      </c>
      <c r="I28" s="19"/>
      <c r="J28" s="19"/>
      <c r="K28" s="19"/>
      <c r="L28" s="19"/>
      <c r="M28" s="19"/>
    </row>
    <row r="29" spans="2:13">
      <c r="C29" s="3">
        <v>5</v>
      </c>
      <c r="D29" s="19">
        <f t="shared" si="3"/>
        <v>62557.708197977459</v>
      </c>
      <c r="E29" s="19"/>
      <c r="F29" s="19">
        <f t="shared" ref="F29:F34" si="6">D29*1.03</f>
        <v>64434.439443916788</v>
      </c>
      <c r="G29" s="19"/>
      <c r="H29" s="19">
        <f t="shared" ref="H29:H34" si="7">F29*1.03</f>
        <v>66367.472627234296</v>
      </c>
      <c r="I29" s="19"/>
      <c r="J29" s="19"/>
      <c r="K29" s="19"/>
      <c r="L29" s="19"/>
      <c r="M29" s="19"/>
    </row>
    <row r="30" spans="2:13">
      <c r="C30" s="3">
        <v>6</v>
      </c>
      <c r="D30" s="19">
        <f t="shared" si="3"/>
        <v>64434.439443916788</v>
      </c>
      <c r="E30" s="19"/>
      <c r="F30" s="19">
        <f t="shared" si="6"/>
        <v>66367.472627234296</v>
      </c>
      <c r="G30" s="19"/>
      <c r="H30" s="19">
        <f t="shared" si="7"/>
        <v>68358.49680605132</v>
      </c>
      <c r="I30" s="19"/>
      <c r="J30" s="19"/>
      <c r="K30" s="19"/>
      <c r="L30" s="19"/>
      <c r="M30" s="19"/>
    </row>
    <row r="31" spans="2:13">
      <c r="C31" s="3">
        <v>7</v>
      </c>
      <c r="D31" s="19">
        <f t="shared" si="3"/>
        <v>66367.472627234296</v>
      </c>
      <c r="E31" s="19"/>
      <c r="F31" s="19">
        <f t="shared" si="6"/>
        <v>68358.49680605132</v>
      </c>
      <c r="G31" s="19"/>
      <c r="H31" s="19">
        <f t="shared" si="7"/>
        <v>70409.251710232857</v>
      </c>
      <c r="I31" s="19"/>
      <c r="J31" s="19"/>
      <c r="K31" s="19"/>
      <c r="L31" s="19"/>
      <c r="M31" s="19"/>
    </row>
    <row r="32" spans="2:13">
      <c r="C32" s="3">
        <v>8</v>
      </c>
      <c r="D32" s="19">
        <f t="shared" si="3"/>
        <v>68358.49680605132</v>
      </c>
      <c r="E32" s="19"/>
      <c r="F32" s="19">
        <f t="shared" si="6"/>
        <v>70409.251710232857</v>
      </c>
      <c r="G32" s="19"/>
      <c r="H32" s="19">
        <f t="shared" si="7"/>
        <v>72521.52926153985</v>
      </c>
      <c r="I32" s="19"/>
      <c r="J32" s="19"/>
      <c r="K32" s="19"/>
      <c r="L32" s="19"/>
      <c r="M32" s="19"/>
    </row>
    <row r="33" spans="1:13">
      <c r="C33" s="3">
        <v>9</v>
      </c>
      <c r="D33" s="19">
        <f t="shared" si="3"/>
        <v>70409.251710232857</v>
      </c>
      <c r="E33" s="19"/>
      <c r="F33" s="19">
        <f t="shared" si="6"/>
        <v>72521.52926153985</v>
      </c>
      <c r="G33" s="19"/>
      <c r="H33" s="19">
        <f t="shared" si="7"/>
        <v>74697.175139386047</v>
      </c>
      <c r="I33" s="19"/>
      <c r="J33" s="19"/>
      <c r="K33" s="19"/>
      <c r="L33" s="19"/>
      <c r="M33" s="19"/>
    </row>
    <row r="34" spans="1:13">
      <c r="C34" s="3">
        <v>10</v>
      </c>
      <c r="D34" s="19">
        <f t="shared" si="3"/>
        <v>72521.52926153985</v>
      </c>
      <c r="E34" s="19"/>
      <c r="F34" s="19">
        <f t="shared" si="6"/>
        <v>74697.175139386047</v>
      </c>
      <c r="G34" s="19"/>
      <c r="H34" s="19">
        <f t="shared" si="7"/>
        <v>76938.090393567632</v>
      </c>
      <c r="I34" s="19"/>
      <c r="J34" s="19"/>
      <c r="K34" s="19"/>
      <c r="L34" s="19"/>
      <c r="M34" s="19"/>
    </row>
    <row r="35" spans="1:13"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>
      <c r="A37" s="3" t="s">
        <v>136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>
      <c r="C38" s="3" t="s">
        <v>109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>
      <c r="B39" s="3" t="str">
        <f>B18</f>
        <v>Level</v>
      </c>
      <c r="D39" s="19" t="s">
        <v>115</v>
      </c>
      <c r="E39" s="19"/>
      <c r="F39" s="19" t="s">
        <v>116</v>
      </c>
      <c r="G39" s="19"/>
      <c r="H39" s="19" t="s">
        <v>112</v>
      </c>
      <c r="I39" s="19"/>
      <c r="J39" s="19" t="s">
        <v>113</v>
      </c>
      <c r="K39" s="19"/>
      <c r="L39" s="19"/>
      <c r="M39" s="19"/>
    </row>
    <row r="40" spans="1:13">
      <c r="C40" s="3">
        <v>1</v>
      </c>
      <c r="D40" s="19">
        <f>39770*0.99</f>
        <v>39372.300000000003</v>
      </c>
      <c r="E40" s="19"/>
      <c r="F40" s="19">
        <f t="shared" ref="F40:F54" si="8">D40+1000</f>
        <v>40372.300000000003</v>
      </c>
      <c r="G40" s="19"/>
      <c r="H40" s="19">
        <f t="shared" ref="H40:H54" si="9">F40+500</f>
        <v>40872.300000000003</v>
      </c>
      <c r="I40" s="19"/>
      <c r="J40" s="19">
        <f t="shared" ref="J40:J54" si="10">H40+500</f>
        <v>41372.300000000003</v>
      </c>
      <c r="K40" s="19"/>
      <c r="L40" s="19"/>
      <c r="M40" s="19"/>
    </row>
    <row r="41" spans="1:13">
      <c r="C41" s="3">
        <v>2</v>
      </c>
      <c r="D41" s="19">
        <f t="shared" ref="D41:D59" si="11">D40*1.025</f>
        <v>40356.607499999998</v>
      </c>
      <c r="E41" s="19"/>
      <c r="F41" s="19">
        <f t="shared" si="8"/>
        <v>41356.607499999998</v>
      </c>
      <c r="G41" s="19"/>
      <c r="H41" s="19">
        <f t="shared" si="9"/>
        <v>41856.607499999998</v>
      </c>
      <c r="I41" s="19"/>
      <c r="J41" s="19">
        <f t="shared" si="10"/>
        <v>42356.607499999998</v>
      </c>
      <c r="K41" s="19"/>
      <c r="L41" s="19"/>
      <c r="M41" s="19"/>
    </row>
    <row r="42" spans="1:13">
      <c r="C42" s="3">
        <v>3</v>
      </c>
      <c r="D42" s="19">
        <f t="shared" si="11"/>
        <v>41365.522687499993</v>
      </c>
      <c r="E42" s="19"/>
      <c r="F42" s="19">
        <f t="shared" si="8"/>
        <v>42365.522687499993</v>
      </c>
      <c r="G42" s="19"/>
      <c r="H42" s="19">
        <f t="shared" si="9"/>
        <v>42865.522687499993</v>
      </c>
      <c r="I42" s="19"/>
      <c r="J42" s="19">
        <f t="shared" si="10"/>
        <v>43365.522687499993</v>
      </c>
      <c r="K42" s="19"/>
      <c r="L42" s="19"/>
      <c r="M42" s="19"/>
    </row>
    <row r="43" spans="1:13">
      <c r="C43" s="3">
        <v>4</v>
      </c>
      <c r="D43" s="19">
        <f t="shared" si="11"/>
        <v>42399.660754687487</v>
      </c>
      <c r="E43" s="19"/>
      <c r="F43" s="19">
        <f t="shared" si="8"/>
        <v>43399.660754687487</v>
      </c>
      <c r="G43" s="19"/>
      <c r="H43" s="19">
        <f t="shared" si="9"/>
        <v>43899.660754687487</v>
      </c>
      <c r="I43" s="19"/>
      <c r="J43" s="19">
        <f t="shared" si="10"/>
        <v>44399.660754687487</v>
      </c>
      <c r="K43" s="19"/>
      <c r="L43" s="19"/>
      <c r="M43" s="19"/>
    </row>
    <row r="44" spans="1:13">
      <c r="C44" s="3">
        <v>5</v>
      </c>
      <c r="D44" s="19">
        <f t="shared" si="11"/>
        <v>43459.652273554668</v>
      </c>
      <c r="E44" s="19"/>
      <c r="F44" s="19">
        <f t="shared" si="8"/>
        <v>44459.652273554668</v>
      </c>
      <c r="G44" s="19"/>
      <c r="H44" s="19">
        <f t="shared" si="9"/>
        <v>44959.652273554668</v>
      </c>
      <c r="I44" s="19"/>
      <c r="J44" s="19">
        <f t="shared" si="10"/>
        <v>45459.652273554668</v>
      </c>
      <c r="K44" s="19"/>
      <c r="L44" s="19"/>
      <c r="M44" s="19"/>
    </row>
    <row r="45" spans="1:13">
      <c r="C45" s="3">
        <v>6</v>
      </c>
      <c r="D45" s="19">
        <f t="shared" si="11"/>
        <v>44546.143580393531</v>
      </c>
      <c r="E45" s="19"/>
      <c r="F45" s="19">
        <f>D45+1000</f>
        <v>45546.143580393531</v>
      </c>
      <c r="G45" s="19"/>
      <c r="H45" s="19">
        <f>F45+500</f>
        <v>46046.143580393531</v>
      </c>
      <c r="I45" s="19"/>
      <c r="J45" s="19">
        <f>H45+500</f>
        <v>46546.143580393531</v>
      </c>
      <c r="K45" s="19"/>
      <c r="L45" s="19"/>
      <c r="M45" s="19"/>
    </row>
    <row r="46" spans="1:13">
      <c r="C46" s="3">
        <v>7</v>
      </c>
      <c r="D46" s="19">
        <f t="shared" si="11"/>
        <v>45659.797169903366</v>
      </c>
      <c r="E46" s="19"/>
      <c r="F46" s="19">
        <f>D46+1000</f>
        <v>46659.797169903366</v>
      </c>
      <c r="G46" s="19"/>
      <c r="H46" s="19">
        <f>F46+500</f>
        <v>47159.797169903366</v>
      </c>
      <c r="I46" s="19"/>
      <c r="J46" s="19">
        <f>H46+500</f>
        <v>47659.797169903366</v>
      </c>
      <c r="K46" s="19"/>
      <c r="L46" s="19"/>
      <c r="M46" s="19"/>
    </row>
    <row r="47" spans="1:13">
      <c r="C47" s="3">
        <v>8</v>
      </c>
      <c r="D47" s="19">
        <f t="shared" si="11"/>
        <v>46801.292099150945</v>
      </c>
      <c r="E47" s="19"/>
      <c r="F47" s="19">
        <f>D47+1000</f>
        <v>47801.292099150945</v>
      </c>
      <c r="G47" s="19"/>
      <c r="H47" s="19">
        <f>F47+500</f>
        <v>48301.292099150945</v>
      </c>
      <c r="I47" s="19"/>
      <c r="J47" s="19">
        <f>H47+500</f>
        <v>48801.292099150945</v>
      </c>
      <c r="K47" s="19"/>
      <c r="L47" s="19"/>
      <c r="M47" s="19"/>
    </row>
    <row r="48" spans="1:13">
      <c r="C48" s="3">
        <v>9</v>
      </c>
      <c r="D48" s="19">
        <f t="shared" si="11"/>
        <v>47971.324401629718</v>
      </c>
      <c r="E48" s="19"/>
      <c r="F48" s="19">
        <f>D48+1000</f>
        <v>48971.324401629718</v>
      </c>
      <c r="G48" s="19"/>
      <c r="H48" s="19">
        <f>F48+500</f>
        <v>49471.324401629718</v>
      </c>
      <c r="I48" s="19"/>
      <c r="J48" s="19">
        <f>H48+500</f>
        <v>49971.324401629718</v>
      </c>
      <c r="K48" s="19"/>
      <c r="L48" s="19"/>
      <c r="M48" s="19"/>
    </row>
    <row r="49" spans="1:13">
      <c r="C49" s="3">
        <v>10</v>
      </c>
      <c r="D49" s="19">
        <f t="shared" si="11"/>
        <v>49170.60751167046</v>
      </c>
      <c r="E49" s="19"/>
      <c r="F49" s="19">
        <f>D49+1000</f>
        <v>50170.60751167046</v>
      </c>
      <c r="G49" s="19"/>
      <c r="H49" s="19">
        <f>F49+500</f>
        <v>50670.60751167046</v>
      </c>
      <c r="I49" s="19"/>
      <c r="J49" s="19">
        <f>H49+500</f>
        <v>51170.60751167046</v>
      </c>
      <c r="K49" s="19"/>
      <c r="L49" s="19"/>
      <c r="M49" s="19"/>
    </row>
    <row r="50" spans="1:13">
      <c r="C50" s="3">
        <v>11</v>
      </c>
      <c r="D50" s="19">
        <f t="shared" si="11"/>
        <v>50399.872699462219</v>
      </c>
      <c r="E50" s="19"/>
      <c r="F50" s="19">
        <f t="shared" si="8"/>
        <v>51399.872699462219</v>
      </c>
      <c r="G50" s="19"/>
      <c r="H50" s="19">
        <f t="shared" si="9"/>
        <v>51899.872699462219</v>
      </c>
      <c r="I50" s="19"/>
      <c r="J50" s="19">
        <f t="shared" si="10"/>
        <v>52399.872699462219</v>
      </c>
      <c r="K50" s="19"/>
      <c r="L50" s="19"/>
      <c r="M50" s="19"/>
    </row>
    <row r="51" spans="1:13">
      <c r="C51" s="3">
        <v>12</v>
      </c>
      <c r="D51" s="19">
        <f t="shared" si="11"/>
        <v>51659.869516948769</v>
      </c>
      <c r="E51" s="19"/>
      <c r="F51" s="19">
        <f t="shared" si="8"/>
        <v>52659.869516948769</v>
      </c>
      <c r="G51" s="19"/>
      <c r="H51" s="19">
        <f t="shared" si="9"/>
        <v>53159.869516948769</v>
      </c>
      <c r="I51" s="19"/>
      <c r="J51" s="19">
        <f t="shared" si="10"/>
        <v>53659.869516948769</v>
      </c>
      <c r="K51" s="19"/>
      <c r="L51" s="19"/>
      <c r="M51" s="19"/>
    </row>
    <row r="52" spans="1:13">
      <c r="C52" s="3">
        <v>13</v>
      </c>
      <c r="D52" s="19">
        <f t="shared" si="11"/>
        <v>52951.366254872482</v>
      </c>
      <c r="E52" s="19"/>
      <c r="F52" s="19">
        <f t="shared" si="8"/>
        <v>53951.366254872482</v>
      </c>
      <c r="G52" s="19"/>
      <c r="H52" s="19">
        <f t="shared" si="9"/>
        <v>54451.366254872482</v>
      </c>
      <c r="I52" s="19"/>
      <c r="J52" s="19">
        <f t="shared" si="10"/>
        <v>54951.366254872482</v>
      </c>
      <c r="K52" s="19"/>
      <c r="L52" s="19"/>
      <c r="M52" s="19"/>
    </row>
    <row r="53" spans="1:13">
      <c r="C53" s="3">
        <v>14</v>
      </c>
      <c r="D53" s="19">
        <f t="shared" si="11"/>
        <v>54275.150411244293</v>
      </c>
      <c r="E53" s="19"/>
      <c r="F53" s="19">
        <f t="shared" si="8"/>
        <v>55275.150411244293</v>
      </c>
      <c r="G53" s="19"/>
      <c r="H53" s="19">
        <f t="shared" si="9"/>
        <v>55775.150411244293</v>
      </c>
      <c r="I53" s="19"/>
      <c r="J53" s="19">
        <f t="shared" si="10"/>
        <v>56275.150411244293</v>
      </c>
      <c r="K53" s="19"/>
      <c r="L53" s="19"/>
      <c r="M53" s="19"/>
    </row>
    <row r="54" spans="1:13">
      <c r="C54" s="3">
        <v>15</v>
      </c>
      <c r="D54" s="19">
        <f t="shared" si="11"/>
        <v>55632.029171525392</v>
      </c>
      <c r="E54" s="19"/>
      <c r="F54" s="19">
        <f t="shared" si="8"/>
        <v>56632.029171525392</v>
      </c>
      <c r="G54" s="19"/>
      <c r="H54" s="19">
        <f t="shared" si="9"/>
        <v>57132.029171525392</v>
      </c>
      <c r="I54" s="19"/>
      <c r="J54" s="19">
        <f t="shared" si="10"/>
        <v>57632.029171525392</v>
      </c>
      <c r="K54" s="19"/>
      <c r="L54" s="19"/>
      <c r="M54" s="19"/>
    </row>
    <row r="55" spans="1:13">
      <c r="C55" s="3">
        <v>16</v>
      </c>
      <c r="D55" s="19">
        <f t="shared" si="11"/>
        <v>57022.829900813522</v>
      </c>
      <c r="E55" s="19"/>
      <c r="F55" s="19">
        <f>D55+1000</f>
        <v>58022.829900813522</v>
      </c>
      <c r="G55" s="19"/>
      <c r="H55" s="19">
        <f>F55+500</f>
        <v>58522.829900813522</v>
      </c>
      <c r="I55" s="19"/>
      <c r="J55" s="19">
        <f>H55+500</f>
        <v>59022.829900813522</v>
      </c>
      <c r="K55" s="19"/>
      <c r="L55" s="19"/>
      <c r="M55" s="19"/>
    </row>
    <row r="56" spans="1:13">
      <c r="C56" s="3">
        <v>17</v>
      </c>
      <c r="D56" s="19">
        <f t="shared" si="11"/>
        <v>58448.400648333853</v>
      </c>
      <c r="E56" s="19"/>
      <c r="F56" s="19">
        <f>D56+1000</f>
        <v>59448.400648333853</v>
      </c>
      <c r="G56" s="19"/>
      <c r="H56" s="19">
        <f>F56+500</f>
        <v>59948.400648333853</v>
      </c>
      <c r="I56" s="19"/>
      <c r="J56" s="19">
        <f>H56+500</f>
        <v>60448.400648333853</v>
      </c>
      <c r="K56" s="19"/>
      <c r="L56" s="19"/>
      <c r="M56" s="19"/>
    </row>
    <row r="57" spans="1:13">
      <c r="C57" s="3">
        <v>18</v>
      </c>
      <c r="D57" s="19">
        <f t="shared" si="11"/>
        <v>59909.610664542197</v>
      </c>
      <c r="E57" s="19"/>
      <c r="F57" s="19">
        <f>D57+1000</f>
        <v>60909.610664542197</v>
      </c>
      <c r="G57" s="19"/>
      <c r="H57" s="19">
        <f>F57+500</f>
        <v>61409.610664542197</v>
      </c>
      <c r="I57" s="19"/>
      <c r="J57" s="19">
        <f>H57+500</f>
        <v>61909.610664542197</v>
      </c>
      <c r="K57" s="19"/>
      <c r="L57" s="19"/>
      <c r="M57" s="19"/>
    </row>
    <row r="58" spans="1:13">
      <c r="C58" s="3">
        <v>19</v>
      </c>
      <c r="D58" s="19">
        <f t="shared" si="11"/>
        <v>61407.35093115575</v>
      </c>
      <c r="E58" s="19"/>
      <c r="F58" s="19">
        <f>D58+1000</f>
        <v>62407.35093115575</v>
      </c>
      <c r="G58" s="19"/>
      <c r="H58" s="19">
        <f>F58+500</f>
        <v>62907.35093115575</v>
      </c>
      <c r="I58" s="19"/>
      <c r="J58" s="19">
        <f>H58+500</f>
        <v>63407.35093115575</v>
      </c>
      <c r="K58" s="19"/>
      <c r="L58" s="19"/>
      <c r="M58" s="19"/>
    </row>
    <row r="59" spans="1:13">
      <c r="C59" s="3">
        <v>20</v>
      </c>
      <c r="D59" s="19">
        <f t="shared" si="11"/>
        <v>62942.534704434642</v>
      </c>
      <c r="E59" s="19"/>
      <c r="F59" s="19">
        <f>D59+1000</f>
        <v>63942.534704434642</v>
      </c>
      <c r="G59" s="19"/>
      <c r="H59" s="19">
        <f>F59+500</f>
        <v>64442.534704434642</v>
      </c>
      <c r="I59" s="19"/>
      <c r="J59" s="19">
        <f>H59+500</f>
        <v>64942.534704434642</v>
      </c>
      <c r="K59" s="19"/>
      <c r="L59" s="19"/>
      <c r="M59" s="19"/>
    </row>
    <row r="60" spans="1:13"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>
      <c r="A62" s="3" t="s">
        <v>137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C63" s="3" t="s">
        <v>109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B64" s="3" t="s">
        <v>138</v>
      </c>
      <c r="D64" s="19" t="s">
        <v>115</v>
      </c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C65" s="3">
        <v>1</v>
      </c>
      <c r="D65" s="19">
        <f>41493+464</f>
        <v>41957</v>
      </c>
      <c r="E65" s="19"/>
      <c r="F65" s="19"/>
      <c r="G65" s="19"/>
      <c r="H65" s="19"/>
      <c r="I65" s="19"/>
      <c r="J65" s="19"/>
      <c r="K65" s="19"/>
      <c r="L65" s="19"/>
      <c r="M65" s="19"/>
    </row>
    <row r="66" spans="1:13">
      <c r="C66" s="3">
        <v>2</v>
      </c>
      <c r="D66" s="19">
        <f>D65+504+70</f>
        <v>42531</v>
      </c>
      <c r="E66" s="19"/>
      <c r="F66" s="19"/>
      <c r="G66" s="19"/>
      <c r="H66" s="19"/>
      <c r="I66" s="19"/>
      <c r="J66" s="19"/>
      <c r="K66" s="19"/>
      <c r="L66" s="19"/>
      <c r="M66" s="19"/>
    </row>
    <row r="67" spans="1:13">
      <c r="C67" s="3">
        <v>3</v>
      </c>
      <c r="D67" s="19">
        <f>D66+310+85</f>
        <v>42926</v>
      </c>
      <c r="E67" s="19"/>
      <c r="F67" s="19"/>
      <c r="G67" s="19"/>
      <c r="H67" s="19"/>
      <c r="I67" s="19"/>
      <c r="J67" s="19"/>
      <c r="K67" s="19"/>
      <c r="L67" s="19"/>
      <c r="M67" s="19"/>
    </row>
    <row r="68" spans="1:13">
      <c r="C68" s="3">
        <v>4</v>
      </c>
      <c r="D68" s="19">
        <f>D67+654-248</f>
        <v>43332</v>
      </c>
      <c r="E68" s="19"/>
      <c r="F68" s="19"/>
      <c r="G68" s="19"/>
      <c r="H68" s="19"/>
      <c r="I68" s="19"/>
      <c r="J68" s="19"/>
      <c r="K68" s="19"/>
      <c r="L68" s="19"/>
      <c r="M68" s="19"/>
    </row>
    <row r="69" spans="1:13">
      <c r="C69" s="3">
        <v>5</v>
      </c>
      <c r="D69" s="19">
        <f>D68+500</f>
        <v>43832</v>
      </c>
      <c r="E69" s="19"/>
      <c r="F69" s="19"/>
      <c r="G69" s="19"/>
      <c r="H69" s="19"/>
      <c r="I69" s="19"/>
      <c r="J69" s="19"/>
      <c r="K69" s="19"/>
      <c r="L69" s="19"/>
      <c r="M69" s="19"/>
    </row>
    <row r="70" spans="1:13">
      <c r="C70" s="3">
        <v>6</v>
      </c>
      <c r="D70" s="19">
        <f>D69+600</f>
        <v>44432</v>
      </c>
      <c r="E70" s="19"/>
      <c r="F70" s="19"/>
      <c r="G70" s="19"/>
      <c r="H70" s="19"/>
      <c r="I70" s="19"/>
      <c r="J70" s="19"/>
      <c r="K70" s="19"/>
      <c r="L70" s="19"/>
      <c r="M70" s="19"/>
    </row>
    <row r="71" spans="1:13">
      <c r="C71" s="3">
        <v>7</v>
      </c>
      <c r="D71" s="19">
        <f>D70+450</f>
        <v>44882</v>
      </c>
      <c r="E71" s="19"/>
      <c r="F71" s="19"/>
      <c r="G71" s="19"/>
      <c r="H71" s="19"/>
      <c r="I71" s="19"/>
      <c r="J71" s="19"/>
      <c r="K71" s="19"/>
      <c r="L71" s="19"/>
      <c r="M71" s="19"/>
    </row>
    <row r="72" spans="1:13">
      <c r="C72" s="3">
        <v>8</v>
      </c>
      <c r="D72" s="19">
        <f>D71+425</f>
        <v>45307</v>
      </c>
      <c r="E72" s="19"/>
      <c r="F72" s="19"/>
      <c r="G72" s="19"/>
      <c r="H72" s="19"/>
      <c r="I72" s="19"/>
      <c r="J72" s="19"/>
      <c r="K72" s="19"/>
      <c r="L72" s="19"/>
      <c r="M72" s="19"/>
    </row>
    <row r="73" spans="1:13">
      <c r="C73" s="3">
        <v>9</v>
      </c>
      <c r="D73" s="19">
        <f>D72+200</f>
        <v>45507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1:13">
      <c r="C74" s="3">
        <v>10</v>
      </c>
      <c r="D74" s="19">
        <f>D73+1000</f>
        <v>46507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1:13"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>
      <c r="A77" s="3" t="s">
        <v>139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>
      <c r="B79" s="3" t="str">
        <f>B39</f>
        <v>Level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>
      <c r="C80" s="3">
        <v>1</v>
      </c>
      <c r="D80" s="19">
        <f>21420*0.99</f>
        <v>21205.8</v>
      </c>
      <c r="E80" s="19"/>
      <c r="F80" s="19"/>
      <c r="G80" s="19"/>
      <c r="H80" s="19"/>
      <c r="I80" s="19"/>
      <c r="J80" s="19"/>
      <c r="K80" s="19"/>
      <c r="L80" s="19"/>
      <c r="M80" s="19"/>
    </row>
    <row r="81" spans="3:13">
      <c r="C81" s="3">
        <v>2</v>
      </c>
      <c r="D81" s="19">
        <f t="shared" ref="D81:D89" si="12">+D80*1.03</f>
        <v>21841.973999999998</v>
      </c>
      <c r="E81" s="19"/>
      <c r="F81" s="19"/>
      <c r="G81" s="19"/>
      <c r="H81" s="19"/>
      <c r="I81" s="19"/>
      <c r="J81" s="19"/>
      <c r="K81" s="19"/>
      <c r="L81" s="19"/>
      <c r="M81" s="19"/>
    </row>
    <row r="82" spans="3:13">
      <c r="C82" s="3">
        <v>3</v>
      </c>
      <c r="D82" s="19">
        <f t="shared" si="12"/>
        <v>22497.233219999998</v>
      </c>
      <c r="E82" s="19"/>
      <c r="F82" s="19"/>
      <c r="G82" s="19"/>
      <c r="H82" s="19"/>
      <c r="I82" s="19"/>
      <c r="J82" s="19"/>
      <c r="K82" s="19"/>
      <c r="L82" s="19"/>
      <c r="M82" s="19"/>
    </row>
    <row r="83" spans="3:13">
      <c r="C83" s="3">
        <v>4</v>
      </c>
      <c r="D83" s="19">
        <f t="shared" si="12"/>
        <v>23172.150216599999</v>
      </c>
      <c r="E83" s="19"/>
      <c r="F83" s="19"/>
      <c r="G83" s="19"/>
      <c r="H83" s="19"/>
      <c r="I83" s="19"/>
      <c r="J83" s="19"/>
      <c r="K83" s="19"/>
      <c r="L83" s="19"/>
      <c r="M83" s="19"/>
    </row>
    <row r="84" spans="3:13" s="2" customFormat="1">
      <c r="C84" s="2">
        <v>5</v>
      </c>
      <c r="D84" s="20">
        <f t="shared" si="12"/>
        <v>23867.314723097999</v>
      </c>
      <c r="E84" s="20"/>
      <c r="F84" s="20"/>
      <c r="G84" s="20"/>
      <c r="H84" s="20"/>
      <c r="I84" s="20"/>
      <c r="J84" s="20"/>
      <c r="K84" s="20"/>
      <c r="L84" s="20"/>
      <c r="M84" s="20"/>
    </row>
    <row r="85" spans="3:13">
      <c r="C85" s="3">
        <v>6</v>
      </c>
      <c r="D85" s="19">
        <f t="shared" si="12"/>
        <v>24583.33416479094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3:13">
      <c r="C86" s="3">
        <v>7</v>
      </c>
      <c r="D86" s="19">
        <f t="shared" si="12"/>
        <v>25320.834189734669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3:13">
      <c r="C87" s="3">
        <v>8</v>
      </c>
      <c r="D87" s="19">
        <f t="shared" si="12"/>
        <v>26080.459215426708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3:13">
      <c r="C88" s="3">
        <v>9</v>
      </c>
      <c r="D88" s="19">
        <f t="shared" si="12"/>
        <v>26862.872991889511</v>
      </c>
      <c r="E88" s="19"/>
      <c r="F88" s="19"/>
      <c r="G88" s="19"/>
      <c r="H88" s="19"/>
      <c r="I88" s="19"/>
      <c r="J88" s="19"/>
      <c r="K88" s="19"/>
      <c r="L88" s="19"/>
      <c r="M88" s="19"/>
    </row>
    <row r="89" spans="3:13">
      <c r="C89" s="3">
        <v>10</v>
      </c>
      <c r="D89" s="19">
        <f t="shared" si="12"/>
        <v>27668.759181646197</v>
      </c>
      <c r="E89" s="19"/>
      <c r="F89" s="19"/>
      <c r="G89" s="19"/>
      <c r="H89" s="19"/>
      <c r="I89" s="19"/>
      <c r="J89" s="19"/>
      <c r="K89" s="19"/>
      <c r="L89" s="19"/>
      <c r="M89" s="19"/>
    </row>
    <row r="90" spans="3:13">
      <c r="C90" s="3">
        <v>11</v>
      </c>
      <c r="D90" s="19">
        <f>+D89*1.0275</f>
        <v>28429.65005914147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3:13">
      <c r="C91" s="3">
        <v>12</v>
      </c>
      <c r="D91" s="19">
        <f>+D90*1.0275</f>
        <v>29211.465435767863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3:13">
      <c r="C92" s="3">
        <v>13</v>
      </c>
      <c r="D92" s="19">
        <f t="shared" ref="D92:D99" si="13">+D91*1.03</f>
        <v>30087.809398840898</v>
      </c>
      <c r="E92" s="19"/>
      <c r="F92" s="19"/>
      <c r="G92" s="19"/>
      <c r="H92" s="19"/>
      <c r="I92" s="19"/>
      <c r="J92" s="19"/>
      <c r="K92" s="19"/>
      <c r="L92" s="19"/>
      <c r="M92" s="19"/>
    </row>
    <row r="93" spans="3:13">
      <c r="C93" s="3">
        <v>14</v>
      </c>
      <c r="D93" s="19">
        <f t="shared" si="13"/>
        <v>30990.443680806125</v>
      </c>
      <c r="E93" s="19"/>
      <c r="F93" s="19"/>
      <c r="G93" s="19"/>
      <c r="H93" s="19"/>
      <c r="I93" s="19"/>
      <c r="J93" s="19"/>
      <c r="K93" s="19"/>
      <c r="L93" s="19"/>
      <c r="M93" s="19"/>
    </row>
    <row r="94" spans="3:13" s="2" customFormat="1">
      <c r="C94" s="3">
        <v>15</v>
      </c>
      <c r="D94" s="20">
        <f t="shared" si="13"/>
        <v>31920.156991230309</v>
      </c>
      <c r="E94" s="20"/>
      <c r="F94" s="20"/>
      <c r="G94" s="20"/>
      <c r="H94" s="20"/>
      <c r="I94" s="20"/>
      <c r="J94" s="20"/>
      <c r="K94" s="20"/>
      <c r="L94" s="20"/>
      <c r="M94" s="20"/>
    </row>
    <row r="95" spans="3:13">
      <c r="C95" s="3">
        <v>16</v>
      </c>
      <c r="D95" s="19">
        <f t="shared" si="13"/>
        <v>32877.761700967218</v>
      </c>
      <c r="E95" s="19"/>
      <c r="F95" s="19"/>
      <c r="G95" s="19"/>
      <c r="H95" s="19"/>
      <c r="I95" s="19"/>
      <c r="J95" s="19"/>
      <c r="K95" s="19"/>
      <c r="L95" s="19"/>
      <c r="M95" s="19"/>
    </row>
    <row r="96" spans="3:13">
      <c r="C96" s="3">
        <v>17</v>
      </c>
      <c r="D96" s="19">
        <f t="shared" si="13"/>
        <v>33864.094551996233</v>
      </c>
      <c r="E96" s="19"/>
      <c r="F96" s="19"/>
      <c r="G96" s="19"/>
      <c r="H96" s="19"/>
      <c r="I96" s="19"/>
      <c r="J96" s="19"/>
      <c r="K96" s="19"/>
      <c r="L96" s="19"/>
      <c r="M96" s="19"/>
    </row>
    <row r="97" spans="1:13">
      <c r="C97" s="3">
        <v>18</v>
      </c>
      <c r="D97" s="19">
        <f t="shared" si="13"/>
        <v>34880.017388556123</v>
      </c>
      <c r="E97" s="19"/>
      <c r="F97" s="19"/>
      <c r="G97" s="19"/>
      <c r="H97" s="19"/>
      <c r="I97" s="19"/>
      <c r="J97" s="19"/>
      <c r="K97" s="19"/>
      <c r="L97" s="19"/>
      <c r="M97" s="19"/>
    </row>
    <row r="98" spans="1:13">
      <c r="C98" s="3">
        <v>19</v>
      </c>
      <c r="D98" s="19">
        <f t="shared" si="13"/>
        <v>35926.417910212811</v>
      </c>
      <c r="E98" s="19"/>
      <c r="F98" s="19"/>
      <c r="G98" s="19"/>
      <c r="H98" s="19"/>
      <c r="I98" s="19"/>
      <c r="J98" s="19"/>
      <c r="K98" s="19"/>
      <c r="L98" s="19"/>
      <c r="M98" s="19"/>
    </row>
    <row r="99" spans="1:13">
      <c r="C99" s="3">
        <v>20</v>
      </c>
      <c r="D99" s="19">
        <f t="shared" si="13"/>
        <v>37004.210447519195</v>
      </c>
      <c r="E99" s="19"/>
      <c r="F99" s="19"/>
      <c r="G99" s="19"/>
      <c r="H99" s="19"/>
      <c r="I99" s="19"/>
      <c r="J99" s="19"/>
      <c r="K99" s="19"/>
      <c r="L99" s="19"/>
      <c r="M99" s="19"/>
    </row>
    <row r="100" spans="1:13">
      <c r="C100" s="3">
        <v>21</v>
      </c>
      <c r="D100" s="19">
        <f>+D99*1.0275</f>
        <v>38021.826234825974</v>
      </c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>
      <c r="C101" s="3">
        <v>22</v>
      </c>
      <c r="D101" s="19">
        <f>+D100*1.0275</f>
        <v>39067.426456283691</v>
      </c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>
      <c r="A103" s="3" t="s">
        <v>140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>
      <c r="C104" s="3" t="s">
        <v>109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>
      <c r="B105" s="3" t="str">
        <f>B79</f>
        <v>Level</v>
      </c>
      <c r="D105" s="19" t="s">
        <v>115</v>
      </c>
      <c r="E105" s="19"/>
      <c r="F105" s="19" t="s">
        <v>116</v>
      </c>
      <c r="G105" s="19"/>
      <c r="H105" s="19" t="s">
        <v>112</v>
      </c>
      <c r="I105" s="19"/>
      <c r="J105" s="19" t="s">
        <v>113</v>
      </c>
      <c r="K105" s="19"/>
      <c r="L105" s="19"/>
      <c r="M105" s="19"/>
    </row>
    <row r="106" spans="1:13">
      <c r="C106" s="3">
        <v>1</v>
      </c>
      <c r="D106" s="19">
        <f>SUM(D40)</f>
        <v>39372.300000000003</v>
      </c>
      <c r="E106" s="19"/>
      <c r="F106" s="19">
        <f>D106+500</f>
        <v>39872.300000000003</v>
      </c>
      <c r="G106" s="19"/>
      <c r="H106" s="19">
        <f>F106+500</f>
        <v>40372.300000000003</v>
      </c>
      <c r="I106" s="19"/>
      <c r="J106" s="19">
        <f>H106+750</f>
        <v>41122.300000000003</v>
      </c>
      <c r="K106" s="19"/>
      <c r="L106" s="19"/>
      <c r="M106" s="19"/>
    </row>
    <row r="107" spans="1:13">
      <c r="C107" s="3">
        <v>2</v>
      </c>
      <c r="D107" s="19">
        <f t="shared" ref="D107:D115" si="14">D106*1.03</f>
        <v>40553.469000000005</v>
      </c>
      <c r="E107" s="19"/>
      <c r="F107" s="19">
        <f t="shared" ref="F107:F115" si="15">F106*1.03</f>
        <v>41068.469000000005</v>
      </c>
      <c r="G107" s="19"/>
      <c r="H107" s="19">
        <f t="shared" ref="H107:H115" si="16">H106*1.03</f>
        <v>41583.469000000005</v>
      </c>
      <c r="I107" s="19"/>
      <c r="J107" s="19">
        <f t="shared" ref="J107:J115" si="17">J106*1.03</f>
        <v>42355.969000000005</v>
      </c>
      <c r="K107" s="19"/>
      <c r="L107" s="19"/>
      <c r="M107" s="19"/>
    </row>
    <row r="108" spans="1:13">
      <c r="C108" s="3">
        <v>3</v>
      </c>
      <c r="D108" s="19">
        <f t="shared" si="14"/>
        <v>41770.073070000006</v>
      </c>
      <c r="E108" s="19"/>
      <c r="F108" s="19">
        <f t="shared" si="15"/>
        <v>42300.523070000003</v>
      </c>
      <c r="G108" s="19"/>
      <c r="H108" s="19">
        <f t="shared" si="16"/>
        <v>42830.973070000007</v>
      </c>
      <c r="I108" s="19"/>
      <c r="J108" s="19">
        <f t="shared" si="17"/>
        <v>43626.648070000003</v>
      </c>
      <c r="K108" s="19"/>
      <c r="L108" s="19"/>
      <c r="M108" s="19"/>
    </row>
    <row r="109" spans="1:13">
      <c r="C109" s="3">
        <v>4</v>
      </c>
      <c r="D109" s="19">
        <f t="shared" si="14"/>
        <v>43023.175262100005</v>
      </c>
      <c r="E109" s="19"/>
      <c r="F109" s="19">
        <f t="shared" si="15"/>
        <v>43569.538762100005</v>
      </c>
      <c r="G109" s="19"/>
      <c r="H109" s="19">
        <f t="shared" si="16"/>
        <v>44115.902262100011</v>
      </c>
      <c r="I109" s="19"/>
      <c r="J109" s="19">
        <f t="shared" si="17"/>
        <v>44935.447512100007</v>
      </c>
      <c r="K109" s="19"/>
      <c r="L109" s="19"/>
      <c r="M109" s="19"/>
    </row>
    <row r="110" spans="1:13">
      <c r="C110" s="3">
        <v>5</v>
      </c>
      <c r="D110" s="19">
        <f t="shared" si="14"/>
        <v>44313.870519963006</v>
      </c>
      <c r="E110" s="19"/>
      <c r="F110" s="19">
        <f t="shared" si="15"/>
        <v>44876.624924963005</v>
      </c>
      <c r="G110" s="19"/>
      <c r="H110" s="19">
        <f t="shared" si="16"/>
        <v>45439.379329963012</v>
      </c>
      <c r="I110" s="19"/>
      <c r="J110" s="19">
        <f t="shared" si="17"/>
        <v>46283.510937463005</v>
      </c>
      <c r="K110" s="19"/>
      <c r="L110" s="19"/>
      <c r="M110" s="19"/>
    </row>
    <row r="111" spans="1:13">
      <c r="C111" s="3">
        <v>6</v>
      </c>
      <c r="D111" s="19">
        <f t="shared" si="14"/>
        <v>45643.286635561897</v>
      </c>
      <c r="E111" s="19"/>
      <c r="F111" s="19">
        <f t="shared" si="15"/>
        <v>46222.923672711899</v>
      </c>
      <c r="G111" s="19"/>
      <c r="H111" s="19">
        <f t="shared" si="16"/>
        <v>46802.560709861908</v>
      </c>
      <c r="I111" s="19"/>
      <c r="J111" s="19">
        <f t="shared" si="17"/>
        <v>47672.016265586899</v>
      </c>
      <c r="K111" s="19"/>
      <c r="L111" s="19"/>
      <c r="M111" s="19"/>
    </row>
    <row r="112" spans="1:13">
      <c r="C112" s="3">
        <v>7</v>
      </c>
      <c r="D112" s="19">
        <f t="shared" si="14"/>
        <v>47012.585234628757</v>
      </c>
      <c r="E112" s="19"/>
      <c r="F112" s="19">
        <f t="shared" si="15"/>
        <v>47609.611382893258</v>
      </c>
      <c r="G112" s="19"/>
      <c r="H112" s="19">
        <f t="shared" si="16"/>
        <v>48206.637531157765</v>
      </c>
      <c r="I112" s="19"/>
      <c r="J112" s="19">
        <f t="shared" si="17"/>
        <v>49102.176753554508</v>
      </c>
      <c r="K112" s="19"/>
      <c r="L112" s="19"/>
      <c r="M112" s="19"/>
    </row>
    <row r="113" spans="1:13">
      <c r="C113" s="3">
        <v>8</v>
      </c>
      <c r="D113" s="19">
        <f t="shared" si="14"/>
        <v>48422.962791667618</v>
      </c>
      <c r="E113" s="19"/>
      <c r="F113" s="19">
        <f t="shared" si="15"/>
        <v>49037.899724380055</v>
      </c>
      <c r="G113" s="19"/>
      <c r="H113" s="19">
        <f t="shared" si="16"/>
        <v>49652.836657092499</v>
      </c>
      <c r="I113" s="19"/>
      <c r="J113" s="19">
        <f t="shared" si="17"/>
        <v>50575.242056161143</v>
      </c>
      <c r="K113" s="19"/>
      <c r="L113" s="19"/>
      <c r="M113" s="19"/>
    </row>
    <row r="114" spans="1:13">
      <c r="C114" s="3">
        <v>9</v>
      </c>
      <c r="D114" s="19">
        <f t="shared" si="14"/>
        <v>49875.651675417648</v>
      </c>
      <c r="E114" s="19"/>
      <c r="F114" s="19">
        <f t="shared" si="15"/>
        <v>50509.036716111455</v>
      </c>
      <c r="G114" s="19"/>
      <c r="H114" s="19">
        <f t="shared" si="16"/>
        <v>51142.421756805277</v>
      </c>
      <c r="I114" s="19"/>
      <c r="J114" s="19">
        <f t="shared" si="17"/>
        <v>52092.499317845977</v>
      </c>
      <c r="K114" s="19"/>
      <c r="L114" s="19"/>
      <c r="M114" s="19"/>
    </row>
    <row r="115" spans="1:13">
      <c r="C115" s="3">
        <v>10</v>
      </c>
      <c r="D115" s="19">
        <f t="shared" si="14"/>
        <v>51371.921225680177</v>
      </c>
      <c r="E115" s="19"/>
      <c r="F115" s="19">
        <f t="shared" si="15"/>
        <v>52024.307817594803</v>
      </c>
      <c r="G115" s="19"/>
      <c r="H115" s="19">
        <f t="shared" si="16"/>
        <v>52676.694409509437</v>
      </c>
      <c r="I115" s="19"/>
      <c r="J115" s="19">
        <f t="shared" si="17"/>
        <v>53655.274297381358</v>
      </c>
      <c r="K115" s="19"/>
      <c r="L115" s="19"/>
      <c r="M115" s="19"/>
    </row>
    <row r="116" spans="1:13"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>
      <c r="A117" s="3" t="s">
        <v>141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>
      <c r="C118" s="3" t="s">
        <v>109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>
      <c r="B119" s="3" t="str">
        <f>B105</f>
        <v>Level</v>
      </c>
      <c r="D119" s="19" t="s">
        <v>142</v>
      </c>
      <c r="E119" s="19"/>
      <c r="F119" s="19" t="s">
        <v>143</v>
      </c>
      <c r="G119" s="19"/>
      <c r="H119" s="19" t="s">
        <v>133</v>
      </c>
      <c r="I119" s="19"/>
      <c r="J119" s="19" t="s">
        <v>112</v>
      </c>
      <c r="K119" s="19"/>
      <c r="L119" s="19" t="s">
        <v>113</v>
      </c>
      <c r="M119" s="19"/>
    </row>
    <row r="120" spans="1:13">
      <c r="C120" s="3">
        <v>1</v>
      </c>
      <c r="D120" s="19">
        <f>SUM(D40-3000)</f>
        <v>36372.300000000003</v>
      </c>
      <c r="E120" s="19"/>
      <c r="F120" s="19">
        <f>SUM(D40+5000)*0.99</f>
        <v>43928.577000000005</v>
      </c>
      <c r="G120" s="19"/>
      <c r="H120" s="19">
        <f>F120+1000</f>
        <v>44928.577000000005</v>
      </c>
      <c r="I120" s="19"/>
      <c r="J120" s="19">
        <f>H120+500</f>
        <v>45428.577000000005</v>
      </c>
      <c r="K120" s="19"/>
      <c r="L120" s="19">
        <f t="shared" ref="L120:L128" si="18">J121</f>
        <v>47603.827339300005</v>
      </c>
      <c r="M120" s="19"/>
    </row>
    <row r="121" spans="1:13">
      <c r="C121" s="3">
        <v>2</v>
      </c>
      <c r="D121" s="19">
        <f>D120+750</f>
        <v>37122.300000000003</v>
      </c>
      <c r="E121" s="19"/>
      <c r="F121" s="19">
        <f t="shared" ref="F121:F129" si="19">F120*1.03</f>
        <v>45246.434310000004</v>
      </c>
      <c r="G121" s="19"/>
      <c r="H121" s="19">
        <f>F121+1500</f>
        <v>46746.434310000004</v>
      </c>
      <c r="I121" s="19"/>
      <c r="J121" s="19">
        <f t="shared" ref="J121:J128" si="20">H122</f>
        <v>47603.827339300005</v>
      </c>
      <c r="K121" s="19"/>
      <c r="L121" s="19">
        <f t="shared" si="18"/>
        <v>49442.000424263373</v>
      </c>
      <c r="M121" s="19"/>
    </row>
    <row r="122" spans="1:13">
      <c r="C122" s="3">
        <v>3</v>
      </c>
      <c r="D122" s="19">
        <f t="shared" ref="D122:D129" si="21">D121+1000</f>
        <v>38122.300000000003</v>
      </c>
      <c r="E122" s="19"/>
      <c r="F122" s="19">
        <f t="shared" si="19"/>
        <v>46603.827339300005</v>
      </c>
      <c r="G122" s="19"/>
      <c r="H122" s="19">
        <f>F122+1000</f>
        <v>47603.827339300005</v>
      </c>
      <c r="I122" s="19"/>
      <c r="J122" s="19">
        <f t="shared" si="20"/>
        <v>49442.000424263373</v>
      </c>
      <c r="K122" s="19"/>
      <c r="L122" s="19">
        <f t="shared" si="18"/>
        <v>50925.260436991273</v>
      </c>
      <c r="M122" s="19"/>
    </row>
    <row r="123" spans="1:13">
      <c r="C123" s="3">
        <v>4</v>
      </c>
      <c r="D123" s="19">
        <f t="shared" si="21"/>
        <v>39122.300000000003</v>
      </c>
      <c r="E123" s="19"/>
      <c r="F123" s="19">
        <f t="shared" si="19"/>
        <v>48001.942159479004</v>
      </c>
      <c r="G123" s="19"/>
      <c r="H123" s="19">
        <f>F123*1.03</f>
        <v>49442.000424263373</v>
      </c>
      <c r="I123" s="19"/>
      <c r="J123" s="19">
        <f t="shared" si="20"/>
        <v>50925.260436991273</v>
      </c>
      <c r="K123" s="19"/>
      <c r="L123" s="19">
        <f t="shared" si="18"/>
        <v>52453.018250101013</v>
      </c>
      <c r="M123" s="19"/>
    </row>
    <row r="124" spans="1:13">
      <c r="C124" s="3">
        <v>5</v>
      </c>
      <c r="D124" s="19">
        <f t="shared" si="21"/>
        <v>40122.300000000003</v>
      </c>
      <c r="E124" s="19"/>
      <c r="F124" s="19">
        <f t="shared" si="19"/>
        <v>49442.000424263373</v>
      </c>
      <c r="G124" s="19"/>
      <c r="H124" s="19">
        <f>F124*1.03</f>
        <v>50925.260436991273</v>
      </c>
      <c r="I124" s="19"/>
      <c r="J124" s="19">
        <f t="shared" si="20"/>
        <v>52453.018250101013</v>
      </c>
      <c r="K124" s="19"/>
      <c r="L124" s="19">
        <f t="shared" si="18"/>
        <v>54026.608797604044</v>
      </c>
      <c r="M124" s="19"/>
    </row>
    <row r="125" spans="1:13">
      <c r="C125" s="3">
        <v>6</v>
      </c>
      <c r="D125" s="19">
        <f t="shared" si="21"/>
        <v>41122.300000000003</v>
      </c>
      <c r="E125" s="19"/>
      <c r="F125" s="19">
        <f t="shared" si="19"/>
        <v>50925.260436991273</v>
      </c>
      <c r="G125" s="19"/>
      <c r="H125" s="19">
        <f>F125*1.03</f>
        <v>52453.018250101013</v>
      </c>
      <c r="I125" s="19"/>
      <c r="J125" s="19">
        <f t="shared" si="20"/>
        <v>54026.608797604044</v>
      </c>
      <c r="K125" s="19"/>
      <c r="L125" s="19">
        <f t="shared" si="18"/>
        <v>55647.407061532169</v>
      </c>
      <c r="M125" s="19"/>
    </row>
    <row r="126" spans="1:13">
      <c r="C126" s="3">
        <v>7</v>
      </c>
      <c r="D126" s="19">
        <f t="shared" si="21"/>
        <v>42122.3</v>
      </c>
      <c r="E126" s="19"/>
      <c r="F126" s="19">
        <f t="shared" si="19"/>
        <v>52453.018250101013</v>
      </c>
      <c r="G126" s="19"/>
      <c r="H126" s="19">
        <f>H125*1.03</f>
        <v>54026.608797604044</v>
      </c>
      <c r="I126" s="19"/>
      <c r="J126" s="19">
        <f t="shared" si="20"/>
        <v>55647.407061532169</v>
      </c>
      <c r="K126" s="19"/>
      <c r="L126" s="19">
        <f t="shared" si="18"/>
        <v>57316.829273378135</v>
      </c>
      <c r="M126" s="19"/>
    </row>
    <row r="127" spans="1:13">
      <c r="C127" s="3">
        <v>8</v>
      </c>
      <c r="D127" s="19">
        <f t="shared" si="21"/>
        <v>43122.3</v>
      </c>
      <c r="E127" s="19"/>
      <c r="F127" s="19">
        <f t="shared" si="19"/>
        <v>54026.608797604044</v>
      </c>
      <c r="G127" s="19"/>
      <c r="H127" s="19">
        <f>H126*1.03</f>
        <v>55647.407061532169</v>
      </c>
      <c r="I127" s="19"/>
      <c r="J127" s="19">
        <f t="shared" si="20"/>
        <v>57316.829273378135</v>
      </c>
      <c r="K127" s="19"/>
      <c r="L127" s="19">
        <f t="shared" si="18"/>
        <v>59036.334151579482</v>
      </c>
      <c r="M127" s="19"/>
    </row>
    <row r="128" spans="1:13">
      <c r="C128" s="3">
        <v>9</v>
      </c>
      <c r="D128" s="19">
        <f t="shared" si="21"/>
        <v>44122.3</v>
      </c>
      <c r="E128" s="19"/>
      <c r="F128" s="19">
        <f t="shared" si="19"/>
        <v>55647.407061532169</v>
      </c>
      <c r="G128" s="19"/>
      <c r="H128" s="19">
        <f>H127*1.03</f>
        <v>57316.829273378135</v>
      </c>
      <c r="I128" s="19"/>
      <c r="J128" s="19">
        <f t="shared" si="20"/>
        <v>59036.334151579482</v>
      </c>
      <c r="K128" s="19"/>
      <c r="L128" s="19">
        <f t="shared" si="18"/>
        <v>60036.334151579482</v>
      </c>
      <c r="M128" s="19"/>
    </row>
    <row r="129" spans="1:13">
      <c r="C129" s="3">
        <v>10</v>
      </c>
      <c r="D129" s="19">
        <f t="shared" si="21"/>
        <v>45122.3</v>
      </c>
      <c r="E129" s="19"/>
      <c r="F129" s="19">
        <f t="shared" si="19"/>
        <v>57316.829273378135</v>
      </c>
      <c r="G129" s="19"/>
      <c r="H129" s="19">
        <f>H128*1.03</f>
        <v>59036.334151579482</v>
      </c>
      <c r="I129" s="19"/>
      <c r="J129" s="19">
        <f>H129+1000</f>
        <v>60036.334151579482</v>
      </c>
      <c r="K129" s="19"/>
      <c r="L129" s="19">
        <f>L128*1.03</f>
        <v>61837.424176126871</v>
      </c>
      <c r="M129" s="19"/>
    </row>
    <row r="130" spans="1:13" s="2" customFormat="1"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>
      <c r="A131" s="3" t="s">
        <v>144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>
      <c r="C132" s="3" t="s">
        <v>109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>
      <c r="B133" s="3" t="str">
        <f>B119</f>
        <v>Level</v>
      </c>
      <c r="D133" s="19" t="s">
        <v>132</v>
      </c>
      <c r="E133" s="19"/>
      <c r="F133" s="19" t="s">
        <v>116</v>
      </c>
      <c r="G133" s="19"/>
      <c r="H133" s="19" t="s">
        <v>112</v>
      </c>
      <c r="I133" s="19"/>
      <c r="J133" s="19"/>
      <c r="K133" s="19"/>
      <c r="L133" s="19"/>
      <c r="M133" s="19"/>
    </row>
    <row r="134" spans="1:13">
      <c r="C134" s="3">
        <v>1</v>
      </c>
      <c r="D134" s="19">
        <f>SUM(F120)</f>
        <v>43928.577000000005</v>
      </c>
      <c r="E134" s="19"/>
      <c r="F134" s="19">
        <f>D134+1000</f>
        <v>44928.577000000005</v>
      </c>
      <c r="G134" s="19"/>
      <c r="H134" s="19">
        <f>F134+500</f>
        <v>45428.577000000005</v>
      </c>
      <c r="I134" s="19"/>
      <c r="J134" s="19"/>
      <c r="K134" s="19"/>
      <c r="L134" s="19"/>
      <c r="M134" s="19"/>
    </row>
    <row r="135" spans="1:13">
      <c r="C135" s="3">
        <v>2</v>
      </c>
      <c r="D135" s="19">
        <f>D134+750</f>
        <v>44678.577000000005</v>
      </c>
      <c r="E135" s="19"/>
      <c r="F135" s="19">
        <f>D135+1500</f>
        <v>46178.577000000005</v>
      </c>
      <c r="G135" s="19"/>
      <c r="H135" s="19">
        <f t="shared" ref="H135:H142" si="22">F136</f>
        <v>46678.577000000005</v>
      </c>
      <c r="I135" s="19"/>
      <c r="J135" s="19"/>
      <c r="K135" s="19"/>
      <c r="L135" s="19"/>
      <c r="M135" s="19"/>
    </row>
    <row r="136" spans="1:13">
      <c r="C136" s="3">
        <v>3</v>
      </c>
      <c r="D136" s="19">
        <f t="shared" ref="D136:D143" si="23">D135+1000</f>
        <v>45678.577000000005</v>
      </c>
      <c r="E136" s="19"/>
      <c r="F136" s="19">
        <f>D136+1000</f>
        <v>46678.577000000005</v>
      </c>
      <c r="G136" s="19"/>
      <c r="H136" s="19">
        <f t="shared" si="22"/>
        <v>48078.934310000004</v>
      </c>
      <c r="I136" s="19"/>
      <c r="J136" s="19"/>
      <c r="K136" s="19"/>
      <c r="L136" s="19"/>
      <c r="M136" s="19"/>
    </row>
    <row r="137" spans="1:13">
      <c r="C137" s="3">
        <v>4</v>
      </c>
      <c r="D137" s="19">
        <f t="shared" si="23"/>
        <v>46678.577000000005</v>
      </c>
      <c r="E137" s="19"/>
      <c r="F137" s="19">
        <f>D137*1.03</f>
        <v>48078.934310000004</v>
      </c>
      <c r="G137" s="19"/>
      <c r="H137" s="19">
        <f t="shared" si="22"/>
        <v>49108.934310000004</v>
      </c>
      <c r="I137" s="19"/>
      <c r="J137" s="19"/>
      <c r="K137" s="19"/>
      <c r="L137" s="19"/>
      <c r="M137" s="19"/>
    </row>
    <row r="138" spans="1:13">
      <c r="C138" s="3">
        <v>5</v>
      </c>
      <c r="D138" s="19">
        <f t="shared" si="23"/>
        <v>47678.577000000005</v>
      </c>
      <c r="E138" s="19"/>
      <c r="F138" s="19">
        <f>D138*1.03</f>
        <v>49108.934310000004</v>
      </c>
      <c r="G138" s="19"/>
      <c r="H138" s="19">
        <f t="shared" si="22"/>
        <v>50138.934310000004</v>
      </c>
      <c r="I138" s="19"/>
      <c r="J138" s="19"/>
      <c r="K138" s="19"/>
      <c r="L138" s="19"/>
      <c r="M138" s="19"/>
    </row>
    <row r="139" spans="1:13">
      <c r="C139" s="3">
        <v>6</v>
      </c>
      <c r="D139" s="19">
        <f t="shared" si="23"/>
        <v>48678.577000000005</v>
      </c>
      <c r="E139" s="19"/>
      <c r="F139" s="19">
        <f>D139*1.03</f>
        <v>50138.934310000004</v>
      </c>
      <c r="G139" s="19"/>
      <c r="H139" s="19">
        <f t="shared" si="22"/>
        <v>51643.102339300007</v>
      </c>
      <c r="I139" s="19"/>
      <c r="J139" s="19"/>
      <c r="K139" s="19"/>
      <c r="L139" s="19"/>
      <c r="M139" s="19"/>
    </row>
    <row r="140" spans="1:13">
      <c r="C140" s="3">
        <v>7</v>
      </c>
      <c r="D140" s="19">
        <f t="shared" si="23"/>
        <v>49678.577000000005</v>
      </c>
      <c r="E140" s="19"/>
      <c r="F140" s="19">
        <f>F139*1.03</f>
        <v>51643.102339300007</v>
      </c>
      <c r="G140" s="19"/>
      <c r="H140" s="19">
        <f t="shared" si="22"/>
        <v>53192.39540947901</v>
      </c>
      <c r="I140" s="19"/>
      <c r="J140" s="19"/>
      <c r="K140" s="19"/>
      <c r="L140" s="19"/>
      <c r="M140" s="19"/>
    </row>
    <row r="141" spans="1:13">
      <c r="C141" s="3">
        <v>8</v>
      </c>
      <c r="D141" s="19">
        <f t="shared" si="23"/>
        <v>50678.577000000005</v>
      </c>
      <c r="E141" s="19"/>
      <c r="F141" s="19">
        <f>F140*1.03</f>
        <v>53192.39540947901</v>
      </c>
      <c r="G141" s="19"/>
      <c r="H141" s="19">
        <f t="shared" si="22"/>
        <v>54788.167271763385</v>
      </c>
      <c r="I141" s="19"/>
      <c r="J141" s="19"/>
      <c r="K141" s="19"/>
      <c r="L141" s="19"/>
      <c r="M141" s="19"/>
    </row>
    <row r="142" spans="1:13">
      <c r="C142" s="3">
        <v>9</v>
      </c>
      <c r="D142" s="19">
        <f t="shared" si="23"/>
        <v>51678.577000000005</v>
      </c>
      <c r="E142" s="19"/>
      <c r="F142" s="19">
        <f>F141*1.03</f>
        <v>54788.167271763385</v>
      </c>
      <c r="G142" s="19"/>
      <c r="H142" s="19">
        <f t="shared" si="22"/>
        <v>56431.812289916284</v>
      </c>
      <c r="I142" s="19"/>
      <c r="J142" s="19"/>
      <c r="K142" s="19"/>
      <c r="L142" s="19"/>
      <c r="M142" s="19"/>
    </row>
    <row r="143" spans="1:13">
      <c r="C143" s="3">
        <v>10</v>
      </c>
      <c r="D143" s="19">
        <f t="shared" si="23"/>
        <v>52678.577000000005</v>
      </c>
      <c r="E143" s="19"/>
      <c r="F143" s="19">
        <f>F142*1.03</f>
        <v>56431.812289916284</v>
      </c>
      <c r="G143" s="19"/>
      <c r="H143" s="19">
        <f>F143+1000</f>
        <v>57431.812289916284</v>
      </c>
      <c r="I143" s="19"/>
      <c r="J143" s="19"/>
      <c r="K143" s="19"/>
      <c r="L143" s="19"/>
      <c r="M143" s="19"/>
    </row>
    <row r="144" spans="1:13"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>
      <c r="A146" s="3" t="s">
        <v>145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>
      <c r="C147" s="3" t="s">
        <v>109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>
      <c r="B148" s="3" t="str">
        <f>B133</f>
        <v>Level</v>
      </c>
      <c r="D148" s="19" t="s">
        <v>115</v>
      </c>
      <c r="E148" s="19"/>
      <c r="F148" s="19" t="s">
        <v>116</v>
      </c>
      <c r="G148" s="19"/>
      <c r="H148" s="19" t="s">
        <v>112</v>
      </c>
      <c r="I148" s="19"/>
      <c r="J148" s="19" t="s">
        <v>113</v>
      </c>
      <c r="K148" s="19"/>
      <c r="L148" s="19"/>
      <c r="M148" s="19"/>
    </row>
    <row r="149" spans="1:13">
      <c r="C149" s="3">
        <v>1</v>
      </c>
      <c r="D149" s="19">
        <f>SUM(D134)</f>
        <v>43928.577000000005</v>
      </c>
      <c r="E149" s="19"/>
      <c r="F149" s="19">
        <f>D149+500</f>
        <v>44428.577000000005</v>
      </c>
      <c r="G149" s="19"/>
      <c r="H149" s="19">
        <f t="shared" ref="H149:H158" si="24">F149+500</f>
        <v>44928.577000000005</v>
      </c>
      <c r="I149" s="19"/>
      <c r="J149" s="19">
        <f t="shared" ref="J149:J158" si="25">H149+500</f>
        <v>45428.577000000005</v>
      </c>
      <c r="K149" s="19"/>
      <c r="L149" s="19"/>
      <c r="M149" s="19"/>
    </row>
    <row r="150" spans="1:13">
      <c r="C150" s="3">
        <v>2</v>
      </c>
      <c r="D150" s="19">
        <f>D149+750</f>
        <v>44678.577000000005</v>
      </c>
      <c r="E150" s="19"/>
      <c r="F150" s="19">
        <f>F149+750</f>
        <v>45178.577000000005</v>
      </c>
      <c r="G150" s="19"/>
      <c r="H150" s="19">
        <f t="shared" si="24"/>
        <v>45678.577000000005</v>
      </c>
      <c r="I150" s="19"/>
      <c r="J150" s="19">
        <f t="shared" si="25"/>
        <v>46178.577000000005</v>
      </c>
      <c r="K150" s="19"/>
      <c r="L150" s="19"/>
      <c r="M150" s="19"/>
    </row>
    <row r="151" spans="1:13">
      <c r="C151" s="3">
        <v>3</v>
      </c>
      <c r="D151" s="19">
        <f t="shared" ref="D151:D158" si="26">D150+1000</f>
        <v>45678.577000000005</v>
      </c>
      <c r="E151" s="19"/>
      <c r="F151" s="19">
        <f t="shared" ref="F151:F158" si="27">F150+1000</f>
        <v>46178.577000000005</v>
      </c>
      <c r="G151" s="19"/>
      <c r="H151" s="19">
        <f t="shared" si="24"/>
        <v>46678.577000000005</v>
      </c>
      <c r="I151" s="19"/>
      <c r="J151" s="19">
        <f t="shared" si="25"/>
        <v>47178.577000000005</v>
      </c>
      <c r="K151" s="19"/>
      <c r="L151" s="19"/>
      <c r="M151" s="19"/>
    </row>
    <row r="152" spans="1:13">
      <c r="C152" s="3">
        <v>4</v>
      </c>
      <c r="D152" s="19">
        <f t="shared" si="26"/>
        <v>46678.577000000005</v>
      </c>
      <c r="E152" s="19"/>
      <c r="F152" s="19">
        <f t="shared" si="27"/>
        <v>47178.577000000005</v>
      </c>
      <c r="G152" s="19"/>
      <c r="H152" s="19">
        <f t="shared" si="24"/>
        <v>47678.577000000005</v>
      </c>
      <c r="I152" s="19"/>
      <c r="J152" s="19">
        <f t="shared" si="25"/>
        <v>48178.577000000005</v>
      </c>
      <c r="K152" s="19"/>
      <c r="L152" s="19"/>
      <c r="M152" s="19"/>
    </row>
    <row r="153" spans="1:13">
      <c r="C153" s="3">
        <v>5</v>
      </c>
      <c r="D153" s="19">
        <f t="shared" si="26"/>
        <v>47678.577000000005</v>
      </c>
      <c r="E153" s="19"/>
      <c r="F153" s="19">
        <f t="shared" si="27"/>
        <v>48178.577000000005</v>
      </c>
      <c r="G153" s="19"/>
      <c r="H153" s="19">
        <f t="shared" si="24"/>
        <v>48678.577000000005</v>
      </c>
      <c r="I153" s="19"/>
      <c r="J153" s="19">
        <f t="shared" si="25"/>
        <v>49178.577000000005</v>
      </c>
      <c r="K153" s="19"/>
      <c r="L153" s="19"/>
      <c r="M153" s="19"/>
    </row>
    <row r="154" spans="1:13">
      <c r="C154" s="3">
        <v>6</v>
      </c>
      <c r="D154" s="19">
        <f t="shared" si="26"/>
        <v>48678.577000000005</v>
      </c>
      <c r="E154" s="19"/>
      <c r="F154" s="19">
        <f t="shared" si="27"/>
        <v>49178.577000000005</v>
      </c>
      <c r="G154" s="19"/>
      <c r="H154" s="19">
        <f t="shared" si="24"/>
        <v>49678.577000000005</v>
      </c>
      <c r="I154" s="19"/>
      <c r="J154" s="19">
        <f t="shared" si="25"/>
        <v>50178.577000000005</v>
      </c>
      <c r="K154" s="19"/>
      <c r="L154" s="19"/>
      <c r="M154" s="19"/>
    </row>
    <row r="155" spans="1:13">
      <c r="C155" s="3">
        <v>7</v>
      </c>
      <c r="D155" s="19">
        <f t="shared" si="26"/>
        <v>49678.577000000005</v>
      </c>
      <c r="E155" s="19"/>
      <c r="F155" s="19">
        <f t="shared" si="27"/>
        <v>50178.577000000005</v>
      </c>
      <c r="G155" s="19"/>
      <c r="H155" s="19">
        <f t="shared" si="24"/>
        <v>50678.577000000005</v>
      </c>
      <c r="I155" s="19"/>
      <c r="J155" s="19">
        <f t="shared" si="25"/>
        <v>51178.577000000005</v>
      </c>
      <c r="K155" s="19"/>
      <c r="L155" s="19"/>
      <c r="M155" s="19"/>
    </row>
    <row r="156" spans="1:13">
      <c r="C156" s="3">
        <v>8</v>
      </c>
      <c r="D156" s="19">
        <f t="shared" si="26"/>
        <v>50678.577000000005</v>
      </c>
      <c r="E156" s="19"/>
      <c r="F156" s="19">
        <f t="shared" si="27"/>
        <v>51178.577000000005</v>
      </c>
      <c r="G156" s="19"/>
      <c r="H156" s="19">
        <f t="shared" si="24"/>
        <v>51678.577000000005</v>
      </c>
      <c r="I156" s="19"/>
      <c r="J156" s="19">
        <f t="shared" si="25"/>
        <v>52178.577000000005</v>
      </c>
      <c r="K156" s="19"/>
      <c r="L156" s="19"/>
      <c r="M156" s="19"/>
    </row>
    <row r="157" spans="1:13">
      <c r="C157" s="3">
        <v>9</v>
      </c>
      <c r="D157" s="19">
        <f t="shared" si="26"/>
        <v>51678.577000000005</v>
      </c>
      <c r="E157" s="19"/>
      <c r="F157" s="19">
        <f t="shared" si="27"/>
        <v>52178.577000000005</v>
      </c>
      <c r="G157" s="19"/>
      <c r="H157" s="19">
        <f t="shared" si="24"/>
        <v>52678.577000000005</v>
      </c>
      <c r="I157" s="19"/>
      <c r="J157" s="19">
        <f t="shared" si="25"/>
        <v>53178.577000000005</v>
      </c>
      <c r="K157" s="19"/>
      <c r="L157" s="19"/>
      <c r="M157" s="19"/>
    </row>
    <row r="158" spans="1:13">
      <c r="C158" s="3">
        <v>10</v>
      </c>
      <c r="D158" s="19">
        <f t="shared" si="26"/>
        <v>52678.577000000005</v>
      </c>
      <c r="E158" s="19"/>
      <c r="F158" s="19">
        <f t="shared" si="27"/>
        <v>53178.577000000005</v>
      </c>
      <c r="G158" s="19"/>
      <c r="H158" s="19">
        <f t="shared" si="24"/>
        <v>53678.577000000005</v>
      </c>
      <c r="I158" s="19"/>
      <c r="J158" s="19">
        <f t="shared" si="25"/>
        <v>54178.577000000005</v>
      </c>
      <c r="K158" s="19"/>
      <c r="L158" s="19"/>
      <c r="M158" s="19"/>
    </row>
    <row r="159" spans="1:13"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>
      <c r="A160" s="3" t="s">
        <v>146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>
      <c r="C161" s="3" t="s">
        <v>109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>
      <c r="B162" s="3" t="str">
        <f>B148</f>
        <v>Level</v>
      </c>
      <c r="D162" s="19" t="s">
        <v>115</v>
      </c>
      <c r="E162" s="19"/>
      <c r="F162" s="19" t="s">
        <v>147</v>
      </c>
      <c r="G162" s="19"/>
      <c r="H162" s="19" t="s">
        <v>148</v>
      </c>
      <c r="I162" s="19"/>
      <c r="J162" s="19" t="s">
        <v>113</v>
      </c>
      <c r="K162" s="19"/>
      <c r="L162" s="19"/>
      <c r="M162" s="19"/>
    </row>
    <row r="163" spans="1:13">
      <c r="C163" s="3">
        <v>1</v>
      </c>
      <c r="D163" s="19">
        <f>33084*0.99</f>
        <v>32753.16</v>
      </c>
      <c r="E163" s="19"/>
      <c r="F163" s="19">
        <f t="shared" ref="F163:F172" si="28">D163+1000</f>
        <v>33753.160000000003</v>
      </c>
      <c r="G163" s="19"/>
      <c r="H163" s="19">
        <f t="shared" ref="H163:H172" si="29">F163+500</f>
        <v>34253.160000000003</v>
      </c>
      <c r="I163" s="19"/>
      <c r="J163" s="19">
        <f t="shared" ref="J163:J172" si="30">H163+500</f>
        <v>34753.160000000003</v>
      </c>
      <c r="K163" s="19"/>
      <c r="L163" s="19"/>
      <c r="M163" s="19"/>
    </row>
    <row r="164" spans="1:13">
      <c r="C164" s="3">
        <v>2</v>
      </c>
      <c r="D164" s="19">
        <f t="shared" ref="D164:D172" si="31">D163*1.025</f>
        <v>33571.988999999994</v>
      </c>
      <c r="E164" s="19"/>
      <c r="F164" s="19">
        <f t="shared" si="28"/>
        <v>34571.988999999994</v>
      </c>
      <c r="G164" s="19"/>
      <c r="H164" s="19">
        <f t="shared" si="29"/>
        <v>35071.988999999994</v>
      </c>
      <c r="I164" s="19"/>
      <c r="J164" s="19">
        <f t="shared" si="30"/>
        <v>35571.988999999994</v>
      </c>
      <c r="K164" s="19"/>
      <c r="L164" s="19"/>
      <c r="M164" s="19"/>
    </row>
    <row r="165" spans="1:13">
      <c r="C165" s="3">
        <v>3</v>
      </c>
      <c r="D165" s="19">
        <f t="shared" si="31"/>
        <v>34411.288724999991</v>
      </c>
      <c r="E165" s="19"/>
      <c r="F165" s="19">
        <f t="shared" si="28"/>
        <v>35411.288724999991</v>
      </c>
      <c r="G165" s="19"/>
      <c r="H165" s="19">
        <f t="shared" si="29"/>
        <v>35911.288724999991</v>
      </c>
      <c r="I165" s="19"/>
      <c r="J165" s="19">
        <f t="shared" si="30"/>
        <v>36411.288724999991</v>
      </c>
      <c r="K165" s="19"/>
      <c r="L165" s="19"/>
      <c r="M165" s="19"/>
    </row>
    <row r="166" spans="1:13">
      <c r="C166" s="3">
        <v>4</v>
      </c>
      <c r="D166" s="19">
        <f t="shared" si="31"/>
        <v>35271.570943124985</v>
      </c>
      <c r="E166" s="19"/>
      <c r="F166" s="19">
        <f t="shared" si="28"/>
        <v>36271.570943124985</v>
      </c>
      <c r="G166" s="19"/>
      <c r="H166" s="19">
        <f t="shared" si="29"/>
        <v>36771.570943124985</v>
      </c>
      <c r="I166" s="19"/>
      <c r="J166" s="19">
        <f t="shared" si="30"/>
        <v>37271.570943124985</v>
      </c>
      <c r="K166" s="19"/>
      <c r="L166" s="19"/>
      <c r="M166" s="19"/>
    </row>
    <row r="167" spans="1:13">
      <c r="C167" s="3">
        <v>5</v>
      </c>
      <c r="D167" s="19">
        <f t="shared" si="31"/>
        <v>36153.360216703106</v>
      </c>
      <c r="E167" s="19"/>
      <c r="F167" s="19">
        <f t="shared" si="28"/>
        <v>37153.360216703106</v>
      </c>
      <c r="G167" s="19"/>
      <c r="H167" s="19">
        <f t="shared" si="29"/>
        <v>37653.360216703106</v>
      </c>
      <c r="I167" s="19"/>
      <c r="J167" s="19">
        <f t="shared" si="30"/>
        <v>38153.360216703106</v>
      </c>
      <c r="K167" s="19"/>
      <c r="L167" s="19"/>
      <c r="M167" s="19"/>
    </row>
    <row r="168" spans="1:13">
      <c r="C168" s="3">
        <v>6</v>
      </c>
      <c r="D168" s="19">
        <f t="shared" si="31"/>
        <v>37057.194222120677</v>
      </c>
      <c r="E168" s="19"/>
      <c r="F168" s="19">
        <f t="shared" si="28"/>
        <v>38057.194222120677</v>
      </c>
      <c r="G168" s="19"/>
      <c r="H168" s="19">
        <f t="shared" si="29"/>
        <v>38557.194222120677</v>
      </c>
      <c r="I168" s="19"/>
      <c r="J168" s="19">
        <f t="shared" si="30"/>
        <v>39057.194222120677</v>
      </c>
      <c r="K168" s="19"/>
      <c r="L168" s="19"/>
      <c r="M168" s="19"/>
    </row>
    <row r="169" spans="1:13">
      <c r="C169" s="3">
        <v>7</v>
      </c>
      <c r="D169" s="19">
        <f t="shared" si="31"/>
        <v>37983.624077673689</v>
      </c>
      <c r="E169" s="19"/>
      <c r="F169" s="19">
        <f t="shared" si="28"/>
        <v>38983.624077673689</v>
      </c>
      <c r="G169" s="19"/>
      <c r="H169" s="19">
        <f t="shared" si="29"/>
        <v>39483.624077673689</v>
      </c>
      <c r="I169" s="19"/>
      <c r="J169" s="19">
        <f t="shared" si="30"/>
        <v>39983.624077673689</v>
      </c>
      <c r="K169" s="19"/>
      <c r="L169" s="19"/>
      <c r="M169" s="19"/>
    </row>
    <row r="170" spans="1:13">
      <c r="C170" s="3">
        <v>8</v>
      </c>
      <c r="D170" s="19">
        <f t="shared" si="31"/>
        <v>38933.214679615528</v>
      </c>
      <c r="E170" s="19"/>
      <c r="F170" s="19">
        <f t="shared" si="28"/>
        <v>39933.214679615528</v>
      </c>
      <c r="G170" s="19"/>
      <c r="H170" s="19">
        <f t="shared" si="29"/>
        <v>40433.214679615528</v>
      </c>
      <c r="I170" s="19"/>
      <c r="J170" s="19">
        <f t="shared" si="30"/>
        <v>40933.214679615528</v>
      </c>
      <c r="K170" s="19"/>
      <c r="L170" s="19"/>
      <c r="M170" s="19"/>
    </row>
    <row r="171" spans="1:13">
      <c r="C171" s="3">
        <v>9</v>
      </c>
      <c r="D171" s="19">
        <f t="shared" si="31"/>
        <v>39906.545046605912</v>
      </c>
      <c r="E171" s="19"/>
      <c r="F171" s="19">
        <f t="shared" si="28"/>
        <v>40906.545046605912</v>
      </c>
      <c r="G171" s="19"/>
      <c r="H171" s="19">
        <f t="shared" si="29"/>
        <v>41406.545046605912</v>
      </c>
      <c r="I171" s="19"/>
      <c r="J171" s="19">
        <f t="shared" si="30"/>
        <v>41906.545046605912</v>
      </c>
      <c r="K171" s="19"/>
      <c r="L171" s="19"/>
      <c r="M171" s="19"/>
    </row>
    <row r="172" spans="1:13">
      <c r="C172" s="3">
        <v>10</v>
      </c>
      <c r="D172" s="19">
        <f t="shared" si="31"/>
        <v>40904.208672771056</v>
      </c>
      <c r="E172" s="19"/>
      <c r="F172" s="19">
        <f t="shared" si="28"/>
        <v>41904.208672771056</v>
      </c>
      <c r="G172" s="19"/>
      <c r="H172" s="19">
        <f t="shared" si="29"/>
        <v>42404.208672771056</v>
      </c>
      <c r="I172" s="19"/>
      <c r="J172" s="19">
        <f t="shared" si="30"/>
        <v>42904.208672771056</v>
      </c>
      <c r="K172" s="19"/>
      <c r="L172" s="19"/>
      <c r="M172" s="19"/>
    </row>
    <row r="173" spans="1:13"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>
      <c r="A174" s="3" t="s">
        <v>508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>
      <c r="C175" s="3" t="s">
        <v>109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>
      <c r="B176" s="3" t="str">
        <f>B162</f>
        <v>Level</v>
      </c>
      <c r="D176" s="19" t="s">
        <v>503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3:13">
      <c r="C177" s="3">
        <v>1</v>
      </c>
      <c r="D177" s="19">
        <f>SUM(D92)</f>
        <v>30087.809398840898</v>
      </c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3:13">
      <c r="C178" s="3">
        <v>2</v>
      </c>
      <c r="D178" s="19">
        <f t="shared" ref="D178:D184" si="32">+D177*1.03</f>
        <v>30990.443680806125</v>
      </c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3:13" s="2" customFormat="1">
      <c r="C179" s="3">
        <v>3</v>
      </c>
      <c r="D179" s="20">
        <f t="shared" si="32"/>
        <v>31920.156991230309</v>
      </c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3:13">
      <c r="C180" s="3">
        <v>4</v>
      </c>
      <c r="D180" s="19">
        <f t="shared" si="32"/>
        <v>32877.761700967218</v>
      </c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3:13">
      <c r="C181" s="3">
        <v>5</v>
      </c>
      <c r="D181" s="19">
        <f t="shared" si="32"/>
        <v>33864.094551996233</v>
      </c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3:13">
      <c r="C182" s="3">
        <v>6</v>
      </c>
      <c r="D182" s="19">
        <f t="shared" si="32"/>
        <v>34880.017388556123</v>
      </c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3:13">
      <c r="C183" s="3">
        <v>7</v>
      </c>
      <c r="D183" s="19">
        <f t="shared" si="32"/>
        <v>35926.417910212811</v>
      </c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3:13">
      <c r="C184" s="3">
        <v>8</v>
      </c>
      <c r="D184" s="19">
        <f t="shared" si="32"/>
        <v>37004.210447519195</v>
      </c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3:13">
      <c r="C185" s="3">
        <v>9</v>
      </c>
      <c r="D185" s="19">
        <f>+D184*1.0275</f>
        <v>38021.826234825974</v>
      </c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3:13">
      <c r="C186" s="3">
        <v>10</v>
      </c>
      <c r="D186" s="19">
        <f>+D185*1.0275</f>
        <v>39067.426456283691</v>
      </c>
      <c r="E186" s="19"/>
      <c r="F186" s="19"/>
      <c r="G186" s="19"/>
      <c r="H186" s="19"/>
      <c r="I186" s="19"/>
      <c r="J186" s="19"/>
      <c r="K186" s="19"/>
      <c r="L186" s="19"/>
      <c r="M186" s="19"/>
    </row>
    <row r="214" s="2" customFormat="1"/>
    <row r="217" s="2" customFormat="1"/>
  </sheetData>
  <phoneticPr fontId="22" type="noConversion"/>
  <pageMargins left="0.75" right="0.75" top="1.49" bottom="1" header="0.5" footer="0.5"/>
  <pageSetup orientation="portrait" r:id="rId1"/>
  <headerFooter alignWithMargins="0">
    <oddHeader>&amp;C&amp;"Arial,Bold"&amp;18International School of Louisiana
Faculty Salary Schedule '12 - 2013
&amp;A&amp;RPrinted &amp;D&amp;T</oddHeader>
    <oddFooter>&amp;L&amp;6&amp;Z&amp;F&amp;RPage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88"/>
  <sheetViews>
    <sheetView workbookViewId="0">
      <selection activeCell="G37" sqref="G37"/>
    </sheetView>
  </sheetViews>
  <sheetFormatPr defaultRowHeight="12.75"/>
  <sheetData>
    <row r="1" spans="1:1">
      <c r="A1" t="s">
        <v>368</v>
      </c>
    </row>
    <row r="2" spans="1:1">
      <c r="A2" s="15" t="s">
        <v>374</v>
      </c>
    </row>
    <row r="3" spans="1:1">
      <c r="A3" s="15" t="s">
        <v>375</v>
      </c>
    </row>
    <row r="4" spans="1:1">
      <c r="A4" s="15" t="s">
        <v>376</v>
      </c>
    </row>
    <row r="5" spans="1:1">
      <c r="A5" s="15" t="s">
        <v>377</v>
      </c>
    </row>
    <row r="6" spans="1:1">
      <c r="A6" s="15" t="s">
        <v>378</v>
      </c>
    </row>
    <row r="7" spans="1:1">
      <c r="A7" s="15" t="s">
        <v>379</v>
      </c>
    </row>
    <row r="8" spans="1:1">
      <c r="A8" s="15" t="s">
        <v>380</v>
      </c>
    </row>
    <row r="9" spans="1:1">
      <c r="A9" s="15" t="s">
        <v>381</v>
      </c>
    </row>
    <row r="10" spans="1:1">
      <c r="A10" s="15" t="s">
        <v>395</v>
      </c>
    </row>
    <row r="11" spans="1:1">
      <c r="A11" s="15" t="s">
        <v>406</v>
      </c>
    </row>
    <row r="12" spans="1:1">
      <c r="A12" s="15" t="s">
        <v>410</v>
      </c>
    </row>
    <row r="13" spans="1:1">
      <c r="A13" s="15" t="s">
        <v>411</v>
      </c>
    </row>
    <row r="14" spans="1:1">
      <c r="A14" s="15" t="s">
        <v>414</v>
      </c>
    </row>
    <row r="15" spans="1:1">
      <c r="A15" s="15" t="s">
        <v>415</v>
      </c>
    </row>
    <row r="16" spans="1:1">
      <c r="A16" s="15" t="s">
        <v>416</v>
      </c>
    </row>
    <row r="18" spans="1:1">
      <c r="A18" t="s">
        <v>369</v>
      </c>
    </row>
    <row r="19" spans="1:1">
      <c r="A19" t="s">
        <v>370</v>
      </c>
    </row>
    <row r="68" s="5" customFormat="1"/>
    <row r="103" s="5" customFormat="1"/>
    <row r="185" s="5" customFormat="1"/>
    <row r="188" s="5" customFormat="1"/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3"/>
  <sheetViews>
    <sheetView topLeftCell="A88" workbookViewId="0">
      <selection activeCell="H92" sqref="H92"/>
    </sheetView>
  </sheetViews>
  <sheetFormatPr defaultRowHeight="12.75"/>
  <cols>
    <col min="1" max="1" width="1.42578125" style="3" customWidth="1"/>
    <col min="2" max="2" width="1.7109375" style="3" customWidth="1"/>
    <col min="3" max="3" width="5" style="3" customWidth="1"/>
    <col min="4" max="4" width="9.140625" style="3"/>
    <col min="5" max="5" width="1.42578125" style="3" customWidth="1"/>
    <col min="6" max="6" width="11.42578125" style="3" customWidth="1"/>
    <col min="7" max="7" width="1.42578125" style="3" customWidth="1"/>
    <col min="8" max="8" width="10.5703125" style="3" customWidth="1"/>
    <col min="9" max="9" width="1.42578125" style="3" customWidth="1"/>
    <col min="10" max="10" width="11.28515625" style="3" customWidth="1"/>
    <col min="11" max="16384" width="9.140625" style="3"/>
  </cols>
  <sheetData>
    <row r="1" spans="1:11">
      <c r="A1" s="3" t="s">
        <v>108</v>
      </c>
    </row>
    <row r="2" spans="1:11">
      <c r="C2" s="3" t="s">
        <v>109</v>
      </c>
    </row>
    <row r="3" spans="1:11" ht="19.149999999999999" customHeight="1">
      <c r="B3" s="3" t="s">
        <v>110</v>
      </c>
      <c r="D3" s="3" t="s">
        <v>111</v>
      </c>
      <c r="F3" s="3" t="s">
        <v>112</v>
      </c>
      <c r="H3" s="3" t="s">
        <v>113</v>
      </c>
    </row>
    <row r="4" spans="1:11">
      <c r="C4" s="3">
        <v>1</v>
      </c>
      <c r="D4" s="19">
        <f>65500*0.99-700</f>
        <v>64145</v>
      </c>
      <c r="E4" s="19"/>
      <c r="F4" s="19">
        <f>D4+500</f>
        <v>64645</v>
      </c>
      <c r="G4" s="19"/>
      <c r="H4" s="19">
        <f>F4+750</f>
        <v>65395</v>
      </c>
      <c r="I4" s="19"/>
      <c r="J4" s="19"/>
      <c r="K4" s="19"/>
    </row>
    <row r="5" spans="1:11">
      <c r="C5" s="3">
        <v>2</v>
      </c>
      <c r="D5" s="19">
        <f t="shared" ref="D5:D13" si="0">D4*1.03</f>
        <v>66069.350000000006</v>
      </c>
      <c r="E5" s="19"/>
      <c r="F5" s="19">
        <f t="shared" ref="F5:F13" si="1">F4*1.03</f>
        <v>66584.350000000006</v>
      </c>
      <c r="G5" s="19"/>
      <c r="H5" s="19">
        <f t="shared" ref="H5:H13" si="2">H4*1.03</f>
        <v>67356.850000000006</v>
      </c>
      <c r="I5" s="19"/>
      <c r="J5" s="19"/>
      <c r="K5" s="19"/>
    </row>
    <row r="6" spans="1:11">
      <c r="C6" s="3">
        <v>3</v>
      </c>
      <c r="D6" s="19">
        <f t="shared" si="0"/>
        <v>68051.430500000002</v>
      </c>
      <c r="E6" s="19"/>
      <c r="F6" s="19">
        <f t="shared" si="1"/>
        <v>68581.880500000014</v>
      </c>
      <c r="G6" s="19"/>
      <c r="H6" s="19">
        <f t="shared" si="2"/>
        <v>69377.555500000002</v>
      </c>
      <c r="I6" s="19"/>
      <c r="J6" s="19"/>
      <c r="K6" s="19"/>
    </row>
    <row r="7" spans="1:11">
      <c r="C7" s="3">
        <v>4</v>
      </c>
      <c r="D7" s="19">
        <f t="shared" si="0"/>
        <v>70092.973415</v>
      </c>
      <c r="E7" s="19"/>
      <c r="F7" s="19">
        <f t="shared" si="1"/>
        <v>70639.336915000022</v>
      </c>
      <c r="G7" s="19"/>
      <c r="H7" s="19">
        <f t="shared" si="2"/>
        <v>71458.882165000003</v>
      </c>
      <c r="I7" s="19"/>
      <c r="J7" s="19"/>
      <c r="K7" s="19"/>
    </row>
    <row r="8" spans="1:11">
      <c r="C8" s="3">
        <v>5</v>
      </c>
      <c r="D8" s="19">
        <f t="shared" si="0"/>
        <v>72195.762617450004</v>
      </c>
      <c r="E8" s="19"/>
      <c r="F8" s="19">
        <f t="shared" si="1"/>
        <v>72758.517022450018</v>
      </c>
      <c r="G8" s="19"/>
      <c r="H8" s="19">
        <f t="shared" si="2"/>
        <v>73602.64862995001</v>
      </c>
      <c r="I8" s="19"/>
      <c r="J8" s="19"/>
      <c r="K8" s="19"/>
    </row>
    <row r="9" spans="1:11">
      <c r="C9" s="3">
        <v>6</v>
      </c>
      <c r="D9" s="19">
        <f t="shared" si="0"/>
        <v>74361.635495973504</v>
      </c>
      <c r="E9" s="19"/>
      <c r="F9" s="19">
        <f t="shared" si="1"/>
        <v>74941.272533123527</v>
      </c>
      <c r="G9" s="19"/>
      <c r="H9" s="19">
        <f t="shared" si="2"/>
        <v>75810.728088848511</v>
      </c>
      <c r="I9" s="19"/>
      <c r="J9" s="19"/>
      <c r="K9" s="19"/>
    </row>
    <row r="10" spans="1:11">
      <c r="C10" s="3">
        <v>7</v>
      </c>
      <c r="D10" s="19">
        <f t="shared" si="0"/>
        <v>76592.48456085271</v>
      </c>
      <c r="E10" s="19"/>
      <c r="F10" s="19">
        <f t="shared" si="1"/>
        <v>77189.510709117239</v>
      </c>
      <c r="G10" s="19"/>
      <c r="H10" s="19">
        <f t="shared" si="2"/>
        <v>78085.049931513975</v>
      </c>
      <c r="I10" s="19"/>
      <c r="J10" s="19"/>
      <c r="K10" s="19"/>
    </row>
    <row r="11" spans="1:11">
      <c r="C11" s="3">
        <v>8</v>
      </c>
      <c r="D11" s="19">
        <f t="shared" si="0"/>
        <v>78890.259097678296</v>
      </c>
      <c r="E11" s="19"/>
      <c r="F11" s="19">
        <f t="shared" si="1"/>
        <v>79505.196030390754</v>
      </c>
      <c r="G11" s="19"/>
      <c r="H11" s="19">
        <f t="shared" si="2"/>
        <v>80427.601429459392</v>
      </c>
      <c r="I11" s="19"/>
      <c r="J11" s="19"/>
      <c r="K11" s="19"/>
    </row>
    <row r="12" spans="1:11">
      <c r="C12" s="3">
        <v>9</v>
      </c>
      <c r="D12" s="19">
        <f t="shared" si="0"/>
        <v>81256.966870608652</v>
      </c>
      <c r="E12" s="19"/>
      <c r="F12" s="19">
        <f t="shared" si="1"/>
        <v>81890.351911302481</v>
      </c>
      <c r="G12" s="19"/>
      <c r="H12" s="19">
        <f t="shared" si="2"/>
        <v>82840.429472343181</v>
      </c>
      <c r="I12" s="19"/>
      <c r="J12" s="19"/>
      <c r="K12" s="19"/>
    </row>
    <row r="13" spans="1:11">
      <c r="C13" s="3">
        <v>10</v>
      </c>
      <c r="D13" s="19">
        <f t="shared" si="0"/>
        <v>83694.67587672692</v>
      </c>
      <c r="E13" s="19"/>
      <c r="F13" s="19">
        <f t="shared" si="1"/>
        <v>84347.062468641554</v>
      </c>
      <c r="G13" s="19"/>
      <c r="H13" s="19">
        <f t="shared" si="2"/>
        <v>85325.642356513476</v>
      </c>
      <c r="I13" s="19"/>
      <c r="J13" s="19"/>
      <c r="K13" s="19"/>
    </row>
    <row r="14" spans="1:11">
      <c r="D14" s="19"/>
      <c r="E14" s="19"/>
      <c r="F14" s="19"/>
      <c r="G14" s="19"/>
      <c r="H14" s="19"/>
      <c r="I14" s="19"/>
      <c r="J14" s="19"/>
      <c r="K14" s="19"/>
    </row>
    <row r="15" spans="1:11">
      <c r="D15" s="19"/>
      <c r="E15" s="19"/>
      <c r="F15" s="19"/>
      <c r="G15" s="19"/>
      <c r="H15" s="19"/>
      <c r="I15" s="19"/>
      <c r="J15" s="19"/>
      <c r="K15" s="19"/>
    </row>
    <row r="16" spans="1:11">
      <c r="A16" s="3" t="s">
        <v>114</v>
      </c>
      <c r="D16" s="19"/>
      <c r="E16" s="19"/>
      <c r="F16" s="19"/>
      <c r="G16" s="19"/>
      <c r="H16" s="19"/>
      <c r="I16" s="19"/>
      <c r="J16" s="19"/>
      <c r="K16" s="19"/>
    </row>
    <row r="17" spans="1:11">
      <c r="C17" s="3" t="s">
        <v>109</v>
      </c>
      <c r="D17" s="19"/>
      <c r="E17" s="19"/>
      <c r="F17" s="19"/>
      <c r="G17" s="19"/>
      <c r="H17" s="19"/>
      <c r="I17" s="19"/>
      <c r="J17" s="19"/>
      <c r="K17" s="19"/>
    </row>
    <row r="18" spans="1:11">
      <c r="B18" s="3" t="str">
        <f>B3</f>
        <v>Level</v>
      </c>
      <c r="D18" s="19" t="s">
        <v>115</v>
      </c>
      <c r="E18" s="19"/>
      <c r="F18" s="19" t="s">
        <v>116</v>
      </c>
      <c r="G18" s="19"/>
      <c r="H18" s="19" t="s">
        <v>112</v>
      </c>
      <c r="I18" s="19"/>
      <c r="J18" s="19" t="s">
        <v>113</v>
      </c>
      <c r="K18" s="19"/>
    </row>
    <row r="19" spans="1:11">
      <c r="C19" s="3">
        <v>1</v>
      </c>
      <c r="D19" s="19">
        <f>50000*0.99</f>
        <v>49500</v>
      </c>
      <c r="E19" s="19"/>
      <c r="F19" s="19">
        <f>D19+500</f>
        <v>50000</v>
      </c>
      <c r="G19" s="19"/>
      <c r="H19" s="19">
        <f>F19+500</f>
        <v>50500</v>
      </c>
      <c r="I19" s="19"/>
      <c r="J19" s="19">
        <f>H19+750</f>
        <v>51250</v>
      </c>
      <c r="K19" s="19"/>
    </row>
    <row r="20" spans="1:11">
      <c r="C20" s="3">
        <v>2</v>
      </c>
      <c r="D20" s="19">
        <f t="shared" ref="D20:D28" si="3">D19*1.03</f>
        <v>50985</v>
      </c>
      <c r="E20" s="19"/>
      <c r="F20" s="19">
        <f t="shared" ref="F20:F28" si="4">F19*1.03</f>
        <v>51500</v>
      </c>
      <c r="G20" s="19"/>
      <c r="H20" s="19">
        <f t="shared" ref="H20:H28" si="5">F20*1.03</f>
        <v>53045</v>
      </c>
      <c r="I20" s="19"/>
      <c r="J20" s="19">
        <f t="shared" ref="J20:J28" si="6">H20*1.03</f>
        <v>54636.35</v>
      </c>
      <c r="K20" s="19"/>
    </row>
    <row r="21" spans="1:11">
      <c r="C21" s="3">
        <v>3</v>
      </c>
      <c r="D21" s="19">
        <f t="shared" si="3"/>
        <v>52514.55</v>
      </c>
      <c r="E21" s="19"/>
      <c r="F21" s="19">
        <f t="shared" si="4"/>
        <v>53045</v>
      </c>
      <c r="G21" s="19"/>
      <c r="H21" s="19">
        <f t="shared" si="5"/>
        <v>54636.35</v>
      </c>
      <c r="I21" s="19"/>
      <c r="J21" s="19">
        <f t="shared" si="6"/>
        <v>56275.440499999997</v>
      </c>
      <c r="K21" s="19"/>
    </row>
    <row r="22" spans="1:11">
      <c r="C22" s="3">
        <v>4</v>
      </c>
      <c r="D22" s="19">
        <f t="shared" si="3"/>
        <v>54089.986500000006</v>
      </c>
      <c r="E22" s="19"/>
      <c r="F22" s="19">
        <f t="shared" si="4"/>
        <v>54636.35</v>
      </c>
      <c r="G22" s="19"/>
      <c r="H22" s="19">
        <f t="shared" si="5"/>
        <v>56275.440499999997</v>
      </c>
      <c r="I22" s="19"/>
      <c r="J22" s="19">
        <f t="shared" si="6"/>
        <v>57963.703714999996</v>
      </c>
      <c r="K22" s="19"/>
    </row>
    <row r="23" spans="1:11">
      <c r="C23" s="3">
        <v>5</v>
      </c>
      <c r="D23" s="19">
        <f t="shared" si="3"/>
        <v>55712.686095000005</v>
      </c>
      <c r="E23" s="19"/>
      <c r="F23" s="19">
        <f t="shared" si="4"/>
        <v>56275.440499999997</v>
      </c>
      <c r="G23" s="19"/>
      <c r="H23" s="19">
        <f t="shared" si="5"/>
        <v>57963.703714999996</v>
      </c>
      <c r="I23" s="19"/>
      <c r="J23" s="19">
        <f t="shared" si="6"/>
        <v>59702.614826450001</v>
      </c>
      <c r="K23" s="19"/>
    </row>
    <row r="24" spans="1:11">
      <c r="C24" s="3">
        <v>6</v>
      </c>
      <c r="D24" s="19">
        <f t="shared" si="3"/>
        <v>57384.066677850009</v>
      </c>
      <c r="E24" s="19"/>
      <c r="F24" s="19">
        <f t="shared" si="4"/>
        <v>57963.703714999996</v>
      </c>
      <c r="G24" s="19"/>
      <c r="H24" s="19">
        <f t="shared" si="5"/>
        <v>59702.614826450001</v>
      </c>
      <c r="I24" s="19"/>
      <c r="J24" s="19">
        <f t="shared" si="6"/>
        <v>61493.693271243501</v>
      </c>
      <c r="K24" s="19"/>
    </row>
    <row r="25" spans="1:11">
      <c r="C25" s="3">
        <v>7</v>
      </c>
      <c r="D25" s="19">
        <f t="shared" si="3"/>
        <v>59105.588678185508</v>
      </c>
      <c r="E25" s="19"/>
      <c r="F25" s="19">
        <f t="shared" si="4"/>
        <v>59702.614826450001</v>
      </c>
      <c r="G25" s="19"/>
      <c r="H25" s="19">
        <f t="shared" si="5"/>
        <v>61493.693271243501</v>
      </c>
      <c r="I25" s="19"/>
      <c r="J25" s="19">
        <f t="shared" si="6"/>
        <v>63338.504069380804</v>
      </c>
      <c r="K25" s="19"/>
    </row>
    <row r="26" spans="1:11">
      <c r="C26" s="3">
        <v>8</v>
      </c>
      <c r="D26" s="19">
        <f t="shared" si="3"/>
        <v>60878.756338531071</v>
      </c>
      <c r="E26" s="19"/>
      <c r="F26" s="19">
        <f t="shared" si="4"/>
        <v>61493.693271243501</v>
      </c>
      <c r="G26" s="19"/>
      <c r="H26" s="19">
        <f t="shared" si="5"/>
        <v>63338.504069380804</v>
      </c>
      <c r="I26" s="19"/>
      <c r="J26" s="19">
        <f t="shared" si="6"/>
        <v>65238.659191462233</v>
      </c>
      <c r="K26" s="19"/>
    </row>
    <row r="27" spans="1:11">
      <c r="C27" s="3">
        <v>9</v>
      </c>
      <c r="D27" s="19">
        <f t="shared" si="3"/>
        <v>62705.119028687004</v>
      </c>
      <c r="E27" s="19"/>
      <c r="F27" s="19">
        <f t="shared" si="4"/>
        <v>63338.504069380804</v>
      </c>
      <c r="G27" s="19"/>
      <c r="H27" s="19">
        <f t="shared" si="5"/>
        <v>65238.659191462233</v>
      </c>
      <c r="I27" s="19"/>
      <c r="J27" s="19">
        <f t="shared" si="6"/>
        <v>67195.818967206098</v>
      </c>
      <c r="K27" s="19"/>
    </row>
    <row r="28" spans="1:11">
      <c r="C28" s="3">
        <v>10</v>
      </c>
      <c r="D28" s="19">
        <f t="shared" si="3"/>
        <v>64586.272599547614</v>
      </c>
      <c r="E28" s="19"/>
      <c r="F28" s="19">
        <f t="shared" si="4"/>
        <v>65238.659191462233</v>
      </c>
      <c r="G28" s="19"/>
      <c r="H28" s="19">
        <f t="shared" si="5"/>
        <v>67195.818967206098</v>
      </c>
      <c r="I28" s="19"/>
      <c r="J28" s="19">
        <f t="shared" si="6"/>
        <v>69211.693536222287</v>
      </c>
      <c r="K28" s="19"/>
    </row>
    <row r="29" spans="1:11">
      <c r="D29" s="19"/>
      <c r="E29" s="19"/>
      <c r="F29" s="19"/>
      <c r="G29" s="19"/>
      <c r="H29" s="19"/>
      <c r="I29" s="19"/>
      <c r="J29" s="19"/>
      <c r="K29" s="19"/>
    </row>
    <row r="30" spans="1:11">
      <c r="D30" s="19"/>
      <c r="E30" s="19"/>
      <c r="F30" s="19"/>
      <c r="G30" s="19"/>
      <c r="H30" s="19"/>
      <c r="I30" s="19"/>
      <c r="J30" s="19"/>
      <c r="K30" s="19"/>
    </row>
    <row r="31" spans="1:11">
      <c r="A31" s="3" t="s">
        <v>117</v>
      </c>
      <c r="D31" s="19"/>
      <c r="E31" s="19"/>
      <c r="F31" s="19"/>
      <c r="G31" s="19"/>
      <c r="H31" s="19"/>
      <c r="I31" s="19"/>
      <c r="J31" s="19"/>
      <c r="K31" s="19"/>
    </row>
    <row r="32" spans="1:11">
      <c r="C32" s="3" t="s">
        <v>109</v>
      </c>
      <c r="D32" s="19"/>
      <c r="E32" s="19"/>
      <c r="F32" s="19"/>
      <c r="G32" s="19"/>
      <c r="H32" s="19"/>
      <c r="I32" s="19"/>
      <c r="J32" s="19"/>
      <c r="K32" s="19"/>
    </row>
    <row r="33" spans="1:11">
      <c r="B33" s="3" t="str">
        <f>B18</f>
        <v>Level</v>
      </c>
      <c r="D33" s="19" t="s">
        <v>118</v>
      </c>
      <c r="E33" s="19"/>
      <c r="F33" s="19" t="s">
        <v>115</v>
      </c>
      <c r="G33" s="19"/>
      <c r="H33" s="19" t="s">
        <v>116</v>
      </c>
      <c r="I33" s="19"/>
      <c r="J33" s="19"/>
      <c r="K33" s="19"/>
    </row>
    <row r="34" spans="1:11">
      <c r="C34" s="3">
        <v>1</v>
      </c>
      <c r="D34" s="19">
        <f>38000*0.99</f>
        <v>37620</v>
      </c>
      <c r="E34" s="19"/>
      <c r="F34" s="19">
        <f>D34+1000</f>
        <v>38620</v>
      </c>
      <c r="G34" s="19"/>
      <c r="H34" s="19">
        <f>F34+1000</f>
        <v>39620</v>
      </c>
      <c r="I34" s="19"/>
      <c r="J34" s="19"/>
      <c r="K34" s="19"/>
    </row>
    <row r="35" spans="1:11">
      <c r="C35" s="3">
        <v>2</v>
      </c>
      <c r="D35" s="19">
        <f t="shared" ref="D35:D43" si="7">D34*1.03</f>
        <v>38748.6</v>
      </c>
      <c r="E35" s="19"/>
      <c r="F35" s="19">
        <f t="shared" ref="F35:F43" si="8">F34*1.03</f>
        <v>39778.6</v>
      </c>
      <c r="G35" s="19"/>
      <c r="H35" s="19">
        <f t="shared" ref="H35:H43" si="9">F35*1.03</f>
        <v>40971.957999999999</v>
      </c>
      <c r="I35" s="19"/>
      <c r="J35" s="19"/>
      <c r="K35" s="19"/>
    </row>
    <row r="36" spans="1:11">
      <c r="C36" s="3">
        <v>3</v>
      </c>
      <c r="D36" s="19">
        <f t="shared" si="7"/>
        <v>39911.057999999997</v>
      </c>
      <c r="E36" s="19"/>
      <c r="F36" s="19">
        <f t="shared" si="8"/>
        <v>40971.957999999999</v>
      </c>
      <c r="G36" s="19"/>
      <c r="H36" s="19">
        <f t="shared" si="9"/>
        <v>42201.116739999998</v>
      </c>
      <c r="I36" s="19"/>
      <c r="J36" s="19"/>
      <c r="K36" s="19"/>
    </row>
    <row r="37" spans="1:11">
      <c r="C37" s="3">
        <v>4</v>
      </c>
      <c r="D37" s="19">
        <f t="shared" si="7"/>
        <v>41108.389739999999</v>
      </c>
      <c r="E37" s="19"/>
      <c r="F37" s="19">
        <f t="shared" si="8"/>
        <v>42201.116739999998</v>
      </c>
      <c r="G37" s="19"/>
      <c r="H37" s="19">
        <f t="shared" si="9"/>
        <v>43467.150242199998</v>
      </c>
      <c r="I37" s="19"/>
      <c r="J37" s="19"/>
      <c r="K37" s="19"/>
    </row>
    <row r="38" spans="1:11">
      <c r="C38" s="3">
        <v>5</v>
      </c>
      <c r="D38" s="19">
        <f t="shared" si="7"/>
        <v>42341.641432199998</v>
      </c>
      <c r="E38" s="19"/>
      <c r="F38" s="19">
        <f t="shared" si="8"/>
        <v>43467.150242199998</v>
      </c>
      <c r="G38" s="19"/>
      <c r="H38" s="19">
        <f t="shared" si="9"/>
        <v>44771.164749465999</v>
      </c>
      <c r="I38" s="19"/>
      <c r="J38" s="19"/>
      <c r="K38" s="19"/>
    </row>
    <row r="39" spans="1:11">
      <c r="C39" s="3">
        <v>6</v>
      </c>
      <c r="D39" s="19">
        <f t="shared" si="7"/>
        <v>43611.890675165996</v>
      </c>
      <c r="E39" s="19"/>
      <c r="F39" s="19">
        <f t="shared" si="8"/>
        <v>44771.164749465999</v>
      </c>
      <c r="G39" s="19"/>
      <c r="H39" s="19">
        <f t="shared" si="9"/>
        <v>46114.299691949978</v>
      </c>
      <c r="I39" s="19"/>
      <c r="J39" s="19"/>
      <c r="K39" s="19"/>
    </row>
    <row r="40" spans="1:11">
      <c r="C40" s="3">
        <v>7</v>
      </c>
      <c r="D40" s="19">
        <f t="shared" si="7"/>
        <v>44920.247395420978</v>
      </c>
      <c r="E40" s="19"/>
      <c r="F40" s="19">
        <f t="shared" si="8"/>
        <v>46114.299691949978</v>
      </c>
      <c r="G40" s="19"/>
      <c r="H40" s="19">
        <f t="shared" si="9"/>
        <v>47497.728682708475</v>
      </c>
      <c r="I40" s="19"/>
      <c r="J40" s="19"/>
      <c r="K40" s="19"/>
    </row>
    <row r="41" spans="1:11">
      <c r="C41" s="3">
        <v>8</v>
      </c>
      <c r="D41" s="19">
        <f t="shared" si="7"/>
        <v>46267.854817283609</v>
      </c>
      <c r="E41" s="19"/>
      <c r="F41" s="19">
        <f t="shared" si="8"/>
        <v>47497.728682708475</v>
      </c>
      <c r="G41" s="19"/>
      <c r="H41" s="19">
        <f t="shared" si="9"/>
        <v>48922.660543189733</v>
      </c>
      <c r="I41" s="19"/>
      <c r="J41" s="19"/>
      <c r="K41" s="19"/>
    </row>
    <row r="42" spans="1:11">
      <c r="C42" s="3">
        <v>9</v>
      </c>
      <c r="D42" s="19">
        <f t="shared" si="7"/>
        <v>47655.890461802119</v>
      </c>
      <c r="E42" s="19"/>
      <c r="F42" s="19">
        <f t="shared" si="8"/>
        <v>48922.660543189733</v>
      </c>
      <c r="G42" s="19"/>
      <c r="H42" s="19">
        <f t="shared" si="9"/>
        <v>50390.340359485424</v>
      </c>
      <c r="I42" s="19"/>
      <c r="J42" s="19"/>
      <c r="K42" s="19"/>
    </row>
    <row r="43" spans="1:11">
      <c r="C43" s="3">
        <v>10</v>
      </c>
      <c r="D43" s="19">
        <f t="shared" si="7"/>
        <v>49085.567175656186</v>
      </c>
      <c r="E43" s="19"/>
      <c r="F43" s="19">
        <f t="shared" si="8"/>
        <v>50390.340359485424</v>
      </c>
      <c r="G43" s="19"/>
      <c r="H43" s="19">
        <f t="shared" si="9"/>
        <v>51902.050570269988</v>
      </c>
      <c r="I43" s="19"/>
      <c r="J43" s="19"/>
      <c r="K43" s="19"/>
    </row>
    <row r="44" spans="1:11">
      <c r="D44" s="19"/>
      <c r="E44" s="19"/>
      <c r="F44" s="19"/>
      <c r="G44" s="19"/>
      <c r="H44" s="19"/>
      <c r="I44" s="19"/>
      <c r="J44" s="19"/>
      <c r="K44" s="19"/>
    </row>
    <row r="45" spans="1:11">
      <c r="A45" s="3" t="s">
        <v>119</v>
      </c>
      <c r="D45" s="19"/>
      <c r="E45" s="19"/>
      <c r="F45" s="19"/>
      <c r="G45" s="19"/>
      <c r="H45" s="19"/>
      <c r="I45" s="19"/>
      <c r="J45" s="19"/>
      <c r="K45" s="19"/>
    </row>
    <row r="46" spans="1:11">
      <c r="C46" s="3" t="s">
        <v>109</v>
      </c>
      <c r="D46" s="19"/>
      <c r="E46" s="19"/>
      <c r="F46" s="19"/>
      <c r="G46" s="19"/>
      <c r="H46" s="19"/>
      <c r="I46" s="19"/>
      <c r="J46" s="19"/>
      <c r="K46" s="19"/>
    </row>
    <row r="47" spans="1:11">
      <c r="B47" s="3" t="str">
        <f>B18</f>
        <v>Level</v>
      </c>
      <c r="D47" s="19" t="s">
        <v>115</v>
      </c>
      <c r="E47" s="19"/>
      <c r="F47" s="19" t="s">
        <v>116</v>
      </c>
      <c r="G47" s="19"/>
      <c r="H47" s="19" t="s">
        <v>112</v>
      </c>
      <c r="I47" s="19"/>
      <c r="J47" s="19" t="s">
        <v>113</v>
      </c>
      <c r="K47" s="19"/>
    </row>
    <row r="48" spans="1:11">
      <c r="C48" s="3">
        <v>1</v>
      </c>
      <c r="D48" s="19">
        <f>38000*0.99</f>
        <v>37620</v>
      </c>
      <c r="E48" s="19"/>
      <c r="F48" s="19">
        <f>D48+500</f>
        <v>38120</v>
      </c>
      <c r="G48" s="19"/>
      <c r="H48" s="19">
        <f>F48+500</f>
        <v>38620</v>
      </c>
      <c r="I48" s="19"/>
      <c r="J48" s="19">
        <f>H48+750</f>
        <v>39370</v>
      </c>
      <c r="K48" s="19"/>
    </row>
    <row r="49" spans="1:11">
      <c r="C49" s="3">
        <v>2</v>
      </c>
      <c r="D49" s="19">
        <f t="shared" ref="D49:D57" si="10">D48*1.03</f>
        <v>38748.6</v>
      </c>
      <c r="E49" s="19"/>
      <c r="F49" s="19">
        <f t="shared" ref="F49:F57" si="11">F48*1.03</f>
        <v>39263.599999999999</v>
      </c>
      <c r="G49" s="19"/>
      <c r="H49" s="19">
        <f t="shared" ref="H49:H57" si="12">F49*1.03</f>
        <v>40441.508000000002</v>
      </c>
      <c r="I49" s="19"/>
      <c r="J49" s="19">
        <f t="shared" ref="J49:J57" si="13">H49*1.03</f>
        <v>41654.753240000005</v>
      </c>
      <c r="K49" s="19"/>
    </row>
    <row r="50" spans="1:11">
      <c r="C50" s="3">
        <v>3</v>
      </c>
      <c r="D50" s="19">
        <f t="shared" si="10"/>
        <v>39911.057999999997</v>
      </c>
      <c r="E50" s="19"/>
      <c r="F50" s="19">
        <f t="shared" si="11"/>
        <v>40441.508000000002</v>
      </c>
      <c r="G50" s="19"/>
      <c r="H50" s="19">
        <f t="shared" si="12"/>
        <v>41654.753240000005</v>
      </c>
      <c r="I50" s="19"/>
      <c r="J50" s="19">
        <f t="shared" si="13"/>
        <v>42904.395837200005</v>
      </c>
      <c r="K50" s="19"/>
    </row>
    <row r="51" spans="1:11">
      <c r="C51" s="3">
        <v>4</v>
      </c>
      <c r="D51" s="19">
        <f t="shared" si="10"/>
        <v>41108.389739999999</v>
      </c>
      <c r="E51" s="19"/>
      <c r="F51" s="19">
        <f t="shared" si="11"/>
        <v>41654.753240000005</v>
      </c>
      <c r="G51" s="19"/>
      <c r="H51" s="19">
        <f t="shared" si="12"/>
        <v>42904.395837200005</v>
      </c>
      <c r="I51" s="19"/>
      <c r="J51" s="19">
        <f t="shared" si="13"/>
        <v>44191.527712316005</v>
      </c>
      <c r="K51" s="19"/>
    </row>
    <row r="52" spans="1:11">
      <c r="C52" s="3">
        <v>5</v>
      </c>
      <c r="D52" s="19">
        <f t="shared" si="10"/>
        <v>42341.641432199998</v>
      </c>
      <c r="E52" s="19"/>
      <c r="F52" s="19">
        <f t="shared" si="11"/>
        <v>42904.395837200005</v>
      </c>
      <c r="G52" s="19"/>
      <c r="H52" s="19">
        <f t="shared" si="12"/>
        <v>44191.527712316005</v>
      </c>
      <c r="I52" s="19"/>
      <c r="J52" s="19">
        <f t="shared" si="13"/>
        <v>45517.273543685485</v>
      </c>
      <c r="K52" s="19"/>
    </row>
    <row r="53" spans="1:11">
      <c r="C53" s="3">
        <v>6</v>
      </c>
      <c r="D53" s="19">
        <f t="shared" si="10"/>
        <v>43611.890675165996</v>
      </c>
      <c r="E53" s="19"/>
      <c r="F53" s="19">
        <f t="shared" si="11"/>
        <v>44191.527712316005</v>
      </c>
      <c r="G53" s="19"/>
      <c r="H53" s="19">
        <f t="shared" si="12"/>
        <v>45517.273543685485</v>
      </c>
      <c r="I53" s="19"/>
      <c r="J53" s="19">
        <f t="shared" si="13"/>
        <v>46882.791749996053</v>
      </c>
      <c r="K53" s="19"/>
    </row>
    <row r="54" spans="1:11">
      <c r="C54" s="3">
        <v>7</v>
      </c>
      <c r="D54" s="19">
        <f t="shared" si="10"/>
        <v>44920.247395420978</v>
      </c>
      <c r="E54" s="19"/>
      <c r="F54" s="19">
        <f t="shared" si="11"/>
        <v>45517.273543685485</v>
      </c>
      <c r="G54" s="19"/>
      <c r="H54" s="19">
        <f t="shared" si="12"/>
        <v>46882.791749996053</v>
      </c>
      <c r="I54" s="19"/>
      <c r="J54" s="19">
        <f t="shared" si="13"/>
        <v>48289.275502495933</v>
      </c>
      <c r="K54" s="19"/>
    </row>
    <row r="55" spans="1:11">
      <c r="C55" s="3">
        <v>8</v>
      </c>
      <c r="D55" s="19">
        <f t="shared" si="10"/>
        <v>46267.854817283609</v>
      </c>
      <c r="E55" s="19"/>
      <c r="F55" s="19">
        <f t="shared" si="11"/>
        <v>46882.791749996053</v>
      </c>
      <c r="G55" s="19"/>
      <c r="H55" s="19">
        <f t="shared" si="12"/>
        <v>48289.275502495933</v>
      </c>
      <c r="I55" s="19"/>
      <c r="J55" s="19">
        <f t="shared" si="13"/>
        <v>49737.953767570812</v>
      </c>
      <c r="K55" s="19"/>
    </row>
    <row r="56" spans="1:11">
      <c r="C56" s="3">
        <v>9</v>
      </c>
      <c r="D56" s="19">
        <f t="shared" si="10"/>
        <v>47655.890461802119</v>
      </c>
      <c r="E56" s="19"/>
      <c r="F56" s="19">
        <f t="shared" si="11"/>
        <v>48289.275502495933</v>
      </c>
      <c r="G56" s="19"/>
      <c r="H56" s="19">
        <f t="shared" si="12"/>
        <v>49737.953767570812</v>
      </c>
      <c r="I56" s="19"/>
      <c r="J56" s="19">
        <f t="shared" si="13"/>
        <v>51230.09238059794</v>
      </c>
      <c r="K56" s="19"/>
    </row>
    <row r="57" spans="1:11">
      <c r="C57" s="3">
        <v>10</v>
      </c>
      <c r="D57" s="19">
        <f t="shared" si="10"/>
        <v>49085.567175656186</v>
      </c>
      <c r="E57" s="19"/>
      <c r="F57" s="19">
        <f t="shared" si="11"/>
        <v>49737.953767570812</v>
      </c>
      <c r="G57" s="19"/>
      <c r="H57" s="19">
        <f t="shared" si="12"/>
        <v>51230.09238059794</v>
      </c>
      <c r="I57" s="19"/>
      <c r="J57" s="19">
        <f t="shared" si="13"/>
        <v>52766.995152015879</v>
      </c>
      <c r="K57" s="19"/>
    </row>
    <row r="58" spans="1:11">
      <c r="D58" s="19"/>
      <c r="E58" s="19"/>
      <c r="F58" s="19"/>
      <c r="G58" s="19"/>
      <c r="H58" s="19"/>
      <c r="I58" s="19"/>
      <c r="J58" s="19"/>
      <c r="K58" s="19"/>
    </row>
    <row r="59" spans="1:11">
      <c r="D59" s="19"/>
      <c r="E59" s="19"/>
      <c r="F59" s="19"/>
      <c r="G59" s="19"/>
      <c r="H59" s="19"/>
      <c r="I59" s="19"/>
      <c r="J59" s="19"/>
      <c r="K59" s="19"/>
    </row>
    <row r="60" spans="1:11">
      <c r="A60" s="24" t="s">
        <v>422</v>
      </c>
      <c r="D60" s="19"/>
      <c r="E60" s="19"/>
      <c r="F60" s="19"/>
      <c r="G60" s="19"/>
      <c r="H60" s="19"/>
      <c r="I60" s="19"/>
      <c r="J60" s="19"/>
      <c r="K60" s="19"/>
    </row>
    <row r="61" spans="1:11">
      <c r="C61" s="3" t="s">
        <v>109</v>
      </c>
      <c r="D61" s="19"/>
      <c r="E61" s="19"/>
      <c r="F61" s="19"/>
      <c r="G61" s="19"/>
      <c r="H61" s="19"/>
      <c r="I61" s="19"/>
      <c r="J61" s="19"/>
      <c r="K61" s="19"/>
    </row>
    <row r="62" spans="1:11">
      <c r="B62" s="3" t="str">
        <f>B47</f>
        <v>Level</v>
      </c>
      <c r="D62" s="19" t="s">
        <v>115</v>
      </c>
      <c r="E62" s="19"/>
      <c r="F62" s="19" t="s">
        <v>116</v>
      </c>
      <c r="G62" s="19"/>
      <c r="H62" s="19" t="s">
        <v>112</v>
      </c>
      <c r="I62" s="19"/>
      <c r="J62" s="19" t="s">
        <v>113</v>
      </c>
      <c r="K62" s="19"/>
    </row>
    <row r="63" spans="1:11">
      <c r="C63" s="3">
        <v>1</v>
      </c>
      <c r="D63" s="19">
        <f>36000</f>
        <v>36000</v>
      </c>
      <c r="E63" s="19"/>
      <c r="F63" s="19">
        <f>D63+500</f>
        <v>36500</v>
      </c>
      <c r="G63" s="19"/>
      <c r="H63" s="19">
        <f>F63+500</f>
        <v>37000</v>
      </c>
      <c r="I63" s="19"/>
      <c r="J63" s="19">
        <f>H63+750</f>
        <v>37750</v>
      </c>
      <c r="K63" s="19"/>
    </row>
    <row r="64" spans="1:11">
      <c r="C64" s="3">
        <v>2</v>
      </c>
      <c r="D64" s="19">
        <f t="shared" ref="D64:D72" si="14">D63*1.03</f>
        <v>37080</v>
      </c>
      <c r="E64" s="19"/>
      <c r="F64" s="19">
        <f t="shared" ref="F64:F72" si="15">F63*1.03</f>
        <v>37595</v>
      </c>
      <c r="G64" s="19"/>
      <c r="H64" s="19">
        <f t="shared" ref="H64:H72" si="16">F64*1.03</f>
        <v>38722.85</v>
      </c>
      <c r="I64" s="19"/>
      <c r="J64" s="19">
        <f t="shared" ref="J64:J72" si="17">H64*1.03</f>
        <v>39884.535499999998</v>
      </c>
      <c r="K64" s="19"/>
    </row>
    <row r="65" spans="1:11">
      <c r="C65" s="3">
        <v>3</v>
      </c>
      <c r="D65" s="19">
        <f t="shared" si="14"/>
        <v>38192.400000000001</v>
      </c>
      <c r="E65" s="19"/>
      <c r="F65" s="19">
        <f t="shared" si="15"/>
        <v>38722.85</v>
      </c>
      <c r="G65" s="19"/>
      <c r="H65" s="19">
        <f t="shared" si="16"/>
        <v>39884.535499999998</v>
      </c>
      <c r="I65" s="19"/>
      <c r="J65" s="19">
        <f t="shared" si="17"/>
        <v>41081.071564999998</v>
      </c>
      <c r="K65" s="19"/>
    </row>
    <row r="66" spans="1:11">
      <c r="C66" s="3">
        <v>4</v>
      </c>
      <c r="D66" s="19">
        <f t="shared" si="14"/>
        <v>39338.172000000006</v>
      </c>
      <c r="E66" s="19"/>
      <c r="F66" s="19">
        <f t="shared" si="15"/>
        <v>39884.535499999998</v>
      </c>
      <c r="G66" s="19"/>
      <c r="H66" s="19">
        <f t="shared" si="16"/>
        <v>41081.071564999998</v>
      </c>
      <c r="I66" s="19"/>
      <c r="J66" s="19">
        <f t="shared" si="17"/>
        <v>42313.503711949998</v>
      </c>
      <c r="K66" s="19"/>
    </row>
    <row r="67" spans="1:11">
      <c r="C67" s="3">
        <v>5</v>
      </c>
      <c r="D67" s="19">
        <f t="shared" si="14"/>
        <v>40518.317160000006</v>
      </c>
      <c r="E67" s="19"/>
      <c r="F67" s="19">
        <f t="shared" si="15"/>
        <v>41081.071564999998</v>
      </c>
      <c r="G67" s="19"/>
      <c r="H67" s="19">
        <f t="shared" si="16"/>
        <v>42313.503711949998</v>
      </c>
      <c r="I67" s="19"/>
      <c r="J67" s="19">
        <f t="shared" si="17"/>
        <v>43582.908823308499</v>
      </c>
      <c r="K67" s="19"/>
    </row>
    <row r="68" spans="1:11" s="2" customFormat="1">
      <c r="C68" s="2">
        <v>6</v>
      </c>
      <c r="D68" s="20">
        <f t="shared" si="14"/>
        <v>41733.866674800011</v>
      </c>
      <c r="E68" s="20"/>
      <c r="F68" s="20">
        <f t="shared" si="15"/>
        <v>42313.503711949998</v>
      </c>
      <c r="G68" s="20"/>
      <c r="H68" s="20">
        <f t="shared" si="16"/>
        <v>43582.908823308499</v>
      </c>
      <c r="I68" s="20"/>
      <c r="J68" s="20">
        <f t="shared" si="17"/>
        <v>44890.396088007757</v>
      </c>
      <c r="K68" s="20"/>
    </row>
    <row r="69" spans="1:11">
      <c r="C69" s="3">
        <v>7</v>
      </c>
      <c r="D69" s="19">
        <f t="shared" si="14"/>
        <v>42985.882675044013</v>
      </c>
      <c r="E69" s="19"/>
      <c r="F69" s="19">
        <f t="shared" si="15"/>
        <v>43582.908823308499</v>
      </c>
      <c r="G69" s="19"/>
      <c r="H69" s="19">
        <f t="shared" si="16"/>
        <v>44890.396088007757</v>
      </c>
      <c r="I69" s="19"/>
      <c r="J69" s="19">
        <f t="shared" si="17"/>
        <v>46237.107970647994</v>
      </c>
      <c r="K69" s="19"/>
    </row>
    <row r="70" spans="1:11">
      <c r="C70" s="3">
        <v>8</v>
      </c>
      <c r="D70" s="19">
        <f t="shared" si="14"/>
        <v>44275.459155295335</v>
      </c>
      <c r="E70" s="19"/>
      <c r="F70" s="19">
        <f t="shared" si="15"/>
        <v>44890.396088007757</v>
      </c>
      <c r="G70" s="19"/>
      <c r="H70" s="19">
        <f t="shared" si="16"/>
        <v>46237.107970647994</v>
      </c>
      <c r="I70" s="19"/>
      <c r="J70" s="19">
        <f t="shared" si="17"/>
        <v>47624.221209767435</v>
      </c>
      <c r="K70" s="19"/>
    </row>
    <row r="71" spans="1:11">
      <c r="C71" s="3">
        <v>9</v>
      </c>
      <c r="D71" s="19">
        <f t="shared" si="14"/>
        <v>45603.722929954194</v>
      </c>
      <c r="E71" s="19"/>
      <c r="F71" s="19">
        <f t="shared" si="15"/>
        <v>46237.107970647994</v>
      </c>
      <c r="G71" s="19"/>
      <c r="H71" s="19">
        <f t="shared" si="16"/>
        <v>47624.221209767435</v>
      </c>
      <c r="I71" s="19"/>
      <c r="J71" s="19">
        <f t="shared" si="17"/>
        <v>49052.947846060459</v>
      </c>
      <c r="K71" s="19"/>
    </row>
    <row r="72" spans="1:11">
      <c r="C72" s="3">
        <v>10</v>
      </c>
      <c r="D72" s="19">
        <f t="shared" si="14"/>
        <v>46971.834617852823</v>
      </c>
      <c r="E72" s="19"/>
      <c r="F72" s="19">
        <f t="shared" si="15"/>
        <v>47624.221209767435</v>
      </c>
      <c r="G72" s="19"/>
      <c r="H72" s="19">
        <f t="shared" si="16"/>
        <v>49052.947846060459</v>
      </c>
      <c r="I72" s="19"/>
      <c r="J72" s="19">
        <f t="shared" si="17"/>
        <v>50524.536281442277</v>
      </c>
      <c r="K72" s="19"/>
    </row>
    <row r="73" spans="1:11">
      <c r="D73" s="19"/>
      <c r="E73" s="19"/>
      <c r="F73" s="19"/>
      <c r="G73" s="19"/>
      <c r="H73" s="19"/>
      <c r="I73" s="19"/>
      <c r="J73" s="19"/>
      <c r="K73" s="19"/>
    </row>
    <row r="74" spans="1:11">
      <c r="D74" s="19"/>
      <c r="E74" s="19"/>
      <c r="F74" s="19"/>
      <c r="G74" s="19"/>
      <c r="H74" s="19"/>
      <c r="I74" s="19"/>
      <c r="J74" s="19"/>
      <c r="K74" s="19"/>
    </row>
    <row r="75" spans="1:11">
      <c r="A75" s="3" t="s">
        <v>120</v>
      </c>
      <c r="D75" s="19"/>
      <c r="E75" s="19"/>
      <c r="F75" s="19"/>
      <c r="G75" s="19"/>
      <c r="H75" s="19"/>
      <c r="I75" s="19"/>
      <c r="J75" s="19"/>
      <c r="K75" s="19"/>
    </row>
    <row r="76" spans="1:11">
      <c r="C76" s="3" t="s">
        <v>109</v>
      </c>
      <c r="D76" s="19"/>
      <c r="E76" s="19"/>
      <c r="F76" s="19"/>
      <c r="G76" s="19"/>
      <c r="H76" s="19"/>
      <c r="I76" s="19"/>
      <c r="J76" s="19"/>
      <c r="K76" s="19"/>
    </row>
    <row r="77" spans="1:11">
      <c r="B77" s="3" t="str">
        <f>B62</f>
        <v>Level</v>
      </c>
      <c r="D77" s="19" t="s">
        <v>115</v>
      </c>
      <c r="E77" s="19"/>
      <c r="F77" s="19" t="s">
        <v>116</v>
      </c>
      <c r="G77" s="19"/>
      <c r="H77" s="19" t="s">
        <v>112</v>
      </c>
      <c r="I77" s="19"/>
      <c r="J77" s="19" t="s">
        <v>113</v>
      </c>
      <c r="K77" s="19"/>
    </row>
    <row r="78" spans="1:11">
      <c r="C78" s="3">
        <v>1</v>
      </c>
      <c r="D78" s="19">
        <f>46000*0.99</f>
        <v>45540</v>
      </c>
      <c r="E78" s="19"/>
      <c r="F78" s="19">
        <f>D78+1000</f>
        <v>46540</v>
      </c>
      <c r="G78" s="19"/>
      <c r="H78" s="19">
        <f>F78+500</f>
        <v>47040</v>
      </c>
      <c r="I78" s="19"/>
      <c r="J78" s="19">
        <f>H78+750</f>
        <v>47790</v>
      </c>
      <c r="K78" s="19"/>
    </row>
    <row r="79" spans="1:11">
      <c r="C79" s="3">
        <v>2</v>
      </c>
      <c r="D79" s="19">
        <f t="shared" ref="D79:D92" si="18">D78*1.03</f>
        <v>46906.200000000004</v>
      </c>
      <c r="E79" s="19"/>
      <c r="F79" s="19">
        <f t="shared" ref="F79:F87" si="19">D79*1.03</f>
        <v>48313.386000000006</v>
      </c>
      <c r="G79" s="19"/>
      <c r="H79" s="19">
        <f t="shared" ref="H79:H87" si="20">F79*1.03</f>
        <v>49762.787580000004</v>
      </c>
      <c r="I79" s="19"/>
      <c r="J79" s="19">
        <f t="shared" ref="J79:J87" si="21">H79*1.03</f>
        <v>51255.671207400002</v>
      </c>
      <c r="K79" s="19"/>
    </row>
    <row r="80" spans="1:11">
      <c r="C80" s="3">
        <v>3</v>
      </c>
      <c r="D80" s="19">
        <f t="shared" si="18"/>
        <v>48313.386000000006</v>
      </c>
      <c r="E80" s="19"/>
      <c r="F80" s="19">
        <f t="shared" si="19"/>
        <v>49762.787580000004</v>
      </c>
      <c r="G80" s="19"/>
      <c r="H80" s="19">
        <f t="shared" si="20"/>
        <v>51255.671207400002</v>
      </c>
      <c r="I80" s="19"/>
      <c r="J80" s="19">
        <f t="shared" si="21"/>
        <v>52793.341343622007</v>
      </c>
      <c r="K80" s="19"/>
    </row>
    <row r="81" spans="1:11">
      <c r="C81" s="3">
        <v>4</v>
      </c>
      <c r="D81" s="19">
        <f t="shared" si="18"/>
        <v>49762.787580000004</v>
      </c>
      <c r="E81" s="19"/>
      <c r="F81" s="19">
        <f t="shared" si="19"/>
        <v>51255.671207400002</v>
      </c>
      <c r="G81" s="19"/>
      <c r="H81" s="19">
        <f t="shared" si="20"/>
        <v>52793.341343622007</v>
      </c>
      <c r="I81" s="19"/>
      <c r="J81" s="19">
        <f t="shared" si="21"/>
        <v>54377.141583930672</v>
      </c>
      <c r="K81" s="19"/>
    </row>
    <row r="82" spans="1:11">
      <c r="C82" s="3">
        <v>5</v>
      </c>
      <c r="D82" s="19">
        <f t="shared" si="18"/>
        <v>51255.671207400002</v>
      </c>
      <c r="E82" s="19"/>
      <c r="F82" s="19">
        <f t="shared" si="19"/>
        <v>52793.341343622007</v>
      </c>
      <c r="G82" s="19"/>
      <c r="H82" s="19">
        <f t="shared" si="20"/>
        <v>54377.141583930672</v>
      </c>
      <c r="I82" s="19"/>
      <c r="J82" s="19">
        <f t="shared" si="21"/>
        <v>56008.455831448591</v>
      </c>
      <c r="K82" s="19"/>
    </row>
    <row r="83" spans="1:11">
      <c r="C83" s="3">
        <v>6</v>
      </c>
      <c r="D83" s="19">
        <f t="shared" si="18"/>
        <v>52793.341343622007</v>
      </c>
      <c r="E83" s="19"/>
      <c r="F83" s="19">
        <f t="shared" si="19"/>
        <v>54377.141583930672</v>
      </c>
      <c r="G83" s="19"/>
      <c r="H83" s="19">
        <f t="shared" si="20"/>
        <v>56008.455831448591</v>
      </c>
      <c r="I83" s="19"/>
      <c r="J83" s="19">
        <f t="shared" si="21"/>
        <v>57688.70950639205</v>
      </c>
      <c r="K83" s="19"/>
    </row>
    <row r="84" spans="1:11">
      <c r="C84" s="3">
        <v>7</v>
      </c>
      <c r="D84" s="19">
        <f t="shared" si="18"/>
        <v>54377.141583930672</v>
      </c>
      <c r="E84" s="19"/>
      <c r="F84" s="19">
        <f t="shared" si="19"/>
        <v>56008.455831448591</v>
      </c>
      <c r="G84" s="19"/>
      <c r="H84" s="19">
        <f t="shared" si="20"/>
        <v>57688.70950639205</v>
      </c>
      <c r="I84" s="19"/>
      <c r="J84" s="19">
        <f t="shared" si="21"/>
        <v>59419.370791583809</v>
      </c>
      <c r="K84" s="19"/>
    </row>
    <row r="85" spans="1:11">
      <c r="C85" s="3">
        <v>8</v>
      </c>
      <c r="D85" s="19">
        <f t="shared" si="18"/>
        <v>56008.455831448591</v>
      </c>
      <c r="E85" s="19"/>
      <c r="F85" s="19">
        <f t="shared" si="19"/>
        <v>57688.70950639205</v>
      </c>
      <c r="G85" s="19"/>
      <c r="H85" s="19">
        <f t="shared" si="20"/>
        <v>59419.370791583809</v>
      </c>
      <c r="I85" s="19"/>
      <c r="J85" s="19">
        <f t="shared" si="21"/>
        <v>61201.951915331323</v>
      </c>
      <c r="K85" s="19"/>
    </row>
    <row r="86" spans="1:11">
      <c r="C86" s="3">
        <v>9</v>
      </c>
      <c r="D86" s="19">
        <f t="shared" si="18"/>
        <v>57688.70950639205</v>
      </c>
      <c r="E86" s="19"/>
      <c r="F86" s="19">
        <f t="shared" si="19"/>
        <v>59419.370791583809</v>
      </c>
      <c r="G86" s="19"/>
      <c r="H86" s="19">
        <f t="shared" si="20"/>
        <v>61201.951915331323</v>
      </c>
      <c r="I86" s="19"/>
      <c r="J86" s="19">
        <f t="shared" si="21"/>
        <v>63038.010472791262</v>
      </c>
      <c r="K86" s="19"/>
    </row>
    <row r="87" spans="1:11">
      <c r="C87" s="3">
        <v>10</v>
      </c>
      <c r="D87" s="19">
        <f t="shared" si="18"/>
        <v>59419.370791583809</v>
      </c>
      <c r="E87" s="19"/>
      <c r="F87" s="19">
        <f t="shared" si="19"/>
        <v>61201.951915331323</v>
      </c>
      <c r="G87" s="19"/>
      <c r="H87" s="19">
        <f t="shared" si="20"/>
        <v>63038.010472791262</v>
      </c>
      <c r="I87" s="19"/>
      <c r="J87" s="19">
        <f t="shared" si="21"/>
        <v>64929.150786974998</v>
      </c>
      <c r="K87" s="19"/>
    </row>
    <row r="88" spans="1:11">
      <c r="C88" s="3">
        <v>11</v>
      </c>
      <c r="D88" s="19">
        <f t="shared" si="18"/>
        <v>61201.951915331323</v>
      </c>
      <c r="E88" s="19"/>
      <c r="F88" s="19">
        <f>D88*1.03</f>
        <v>63038.010472791262</v>
      </c>
      <c r="G88" s="19"/>
      <c r="H88" s="19">
        <f>F88*1.03</f>
        <v>64929.150786974998</v>
      </c>
      <c r="I88" s="19"/>
      <c r="J88" s="19">
        <f>H88*1.03</f>
        <v>66877.025310584257</v>
      </c>
      <c r="K88" s="19"/>
    </row>
    <row r="89" spans="1:11">
      <c r="C89" s="3">
        <v>12</v>
      </c>
      <c r="D89" s="19">
        <f t="shared" si="18"/>
        <v>63038.010472791262</v>
      </c>
      <c r="E89" s="19"/>
      <c r="F89" s="19">
        <f>D89*1.03</f>
        <v>64929.150786974998</v>
      </c>
      <c r="G89" s="19"/>
      <c r="H89" s="19">
        <f>F89*1.03</f>
        <v>66877.025310584257</v>
      </c>
      <c r="I89" s="19"/>
      <c r="J89" s="19">
        <f>H89*1.03</f>
        <v>68883.336069901779</v>
      </c>
      <c r="K89" s="19"/>
    </row>
    <row r="90" spans="1:11">
      <c r="C90" s="3">
        <v>13</v>
      </c>
      <c r="D90" s="19">
        <f t="shared" si="18"/>
        <v>64929.150786974998</v>
      </c>
      <c r="E90" s="19"/>
      <c r="F90" s="19">
        <f>D90*1.03</f>
        <v>66877.025310584257</v>
      </c>
      <c r="G90" s="19"/>
      <c r="H90" s="19">
        <f>F90*1.03</f>
        <v>68883.336069901779</v>
      </c>
      <c r="I90" s="19"/>
      <c r="J90" s="19">
        <f>H90*1.03</f>
        <v>70949.836151998839</v>
      </c>
      <c r="K90" s="19"/>
    </row>
    <row r="91" spans="1:11">
      <c r="C91" s="3">
        <v>14</v>
      </c>
      <c r="D91" s="19">
        <f t="shared" si="18"/>
        <v>66877.025310584257</v>
      </c>
      <c r="E91" s="19"/>
      <c r="F91" s="19">
        <f>D91*1.03</f>
        <v>68883.336069901779</v>
      </c>
      <c r="G91" s="19"/>
      <c r="H91" s="19">
        <f>F91*1.03</f>
        <v>70949.836151998839</v>
      </c>
      <c r="I91" s="19"/>
      <c r="J91" s="19">
        <f>H91*1.03</f>
        <v>73078.331236558806</v>
      </c>
      <c r="K91" s="19"/>
    </row>
    <row r="92" spans="1:11">
      <c r="C92" s="3">
        <v>15</v>
      </c>
      <c r="D92" s="19">
        <f t="shared" si="18"/>
        <v>68883.336069901779</v>
      </c>
      <c r="E92" s="19"/>
      <c r="F92" s="19">
        <f>D92*1.03</f>
        <v>70949.836151998839</v>
      </c>
      <c r="G92" s="19"/>
      <c r="H92" s="19">
        <f>F92*1.03</f>
        <v>73078.331236558806</v>
      </c>
      <c r="I92" s="19"/>
      <c r="J92" s="19">
        <f>H92*1.03</f>
        <v>75270.681173655568</v>
      </c>
      <c r="K92" s="19"/>
    </row>
    <row r="93" spans="1:11">
      <c r="D93" s="19"/>
      <c r="E93" s="19"/>
      <c r="F93" s="19"/>
      <c r="G93" s="19"/>
      <c r="H93" s="19"/>
      <c r="I93" s="19"/>
      <c r="J93" s="19"/>
      <c r="K93" s="19"/>
    </row>
    <row r="94" spans="1:11">
      <c r="D94" s="19"/>
      <c r="E94" s="19"/>
      <c r="F94" s="19"/>
      <c r="G94" s="19"/>
      <c r="H94" s="19"/>
      <c r="I94" s="19"/>
      <c r="J94" s="19"/>
      <c r="K94" s="19"/>
    </row>
    <row r="95" spans="1:11">
      <c r="A95" s="3" t="s">
        <v>121</v>
      </c>
      <c r="D95" s="19"/>
      <c r="E95" s="19"/>
      <c r="F95" s="19"/>
      <c r="G95" s="19"/>
      <c r="H95" s="19"/>
      <c r="I95" s="19"/>
      <c r="J95" s="19"/>
      <c r="K95" s="19"/>
    </row>
    <row r="96" spans="1:11">
      <c r="C96" s="3" t="s">
        <v>109</v>
      </c>
      <c r="D96" s="19"/>
      <c r="E96" s="19"/>
      <c r="F96" s="19"/>
      <c r="G96" s="19"/>
      <c r="H96" s="19"/>
      <c r="I96" s="19"/>
      <c r="J96" s="19"/>
      <c r="K96" s="19"/>
    </row>
    <row r="97" spans="1:11">
      <c r="B97" s="3" t="str">
        <f>B77</f>
        <v>Level</v>
      </c>
      <c r="D97" s="19" t="s">
        <v>118</v>
      </c>
      <c r="E97" s="19"/>
      <c r="F97" s="19" t="s">
        <v>115</v>
      </c>
      <c r="G97" s="19"/>
      <c r="H97" s="19" t="s">
        <v>116</v>
      </c>
      <c r="I97" s="19"/>
      <c r="J97" s="19"/>
      <c r="K97" s="19"/>
    </row>
    <row r="98" spans="1:11">
      <c r="C98" s="3">
        <v>1</v>
      </c>
      <c r="D98" s="19">
        <f>26000*0.99</f>
        <v>25740</v>
      </c>
      <c r="E98" s="19"/>
      <c r="F98" s="19">
        <f>D98+1000</f>
        <v>26740</v>
      </c>
      <c r="G98" s="19"/>
      <c r="H98" s="19">
        <f>F98+1000</f>
        <v>27740</v>
      </c>
      <c r="I98" s="19"/>
      <c r="J98" s="19"/>
      <c r="K98" s="19"/>
    </row>
    <row r="99" spans="1:11">
      <c r="C99" s="3">
        <v>2</v>
      </c>
      <c r="D99" s="19">
        <f t="shared" ref="D99:D107" si="22">D98*1.03</f>
        <v>26512.2</v>
      </c>
      <c r="E99" s="19"/>
      <c r="F99" s="19">
        <f t="shared" ref="F99:F107" si="23">F98*1.03</f>
        <v>27542.2</v>
      </c>
      <c r="G99" s="19"/>
      <c r="H99" s="19">
        <f t="shared" ref="H99:H107" si="24">F99*1.03</f>
        <v>28368.466</v>
      </c>
      <c r="I99" s="19"/>
      <c r="J99" s="19"/>
      <c r="K99" s="19"/>
    </row>
    <row r="100" spans="1:11">
      <c r="C100" s="3">
        <v>3</v>
      </c>
      <c r="D100" s="19">
        <f t="shared" si="22"/>
        <v>27307.566000000003</v>
      </c>
      <c r="E100" s="19"/>
      <c r="F100" s="19">
        <f t="shared" si="23"/>
        <v>28368.466</v>
      </c>
      <c r="G100" s="19"/>
      <c r="H100" s="19">
        <f t="shared" si="24"/>
        <v>29219.519980000001</v>
      </c>
      <c r="I100" s="19"/>
      <c r="J100" s="19"/>
      <c r="K100" s="19"/>
    </row>
    <row r="101" spans="1:11">
      <c r="C101" s="3">
        <v>4</v>
      </c>
      <c r="D101" s="19">
        <f t="shared" si="22"/>
        <v>28126.792980000002</v>
      </c>
      <c r="E101" s="19"/>
      <c r="F101" s="19">
        <f t="shared" si="23"/>
        <v>29219.519980000001</v>
      </c>
      <c r="G101" s="19"/>
      <c r="H101" s="19">
        <f t="shared" si="24"/>
        <v>30096.105579400002</v>
      </c>
      <c r="I101" s="19"/>
      <c r="J101" s="19"/>
      <c r="K101" s="19"/>
    </row>
    <row r="102" spans="1:11">
      <c r="C102" s="3">
        <v>5</v>
      </c>
      <c r="D102" s="19">
        <f t="shared" si="22"/>
        <v>28970.596769400003</v>
      </c>
      <c r="E102" s="19"/>
      <c r="F102" s="19">
        <f t="shared" si="23"/>
        <v>30096.105579400002</v>
      </c>
      <c r="G102" s="19"/>
      <c r="H102" s="19">
        <f t="shared" si="24"/>
        <v>30998.988746782004</v>
      </c>
      <c r="I102" s="19"/>
      <c r="J102" s="19"/>
      <c r="K102" s="19"/>
    </row>
    <row r="103" spans="1:11">
      <c r="C103" s="3">
        <v>6</v>
      </c>
      <c r="D103" s="19">
        <f t="shared" si="22"/>
        <v>29839.714672482005</v>
      </c>
      <c r="E103" s="19"/>
      <c r="F103" s="19">
        <f t="shared" si="23"/>
        <v>30998.988746782004</v>
      </c>
      <c r="G103" s="19"/>
      <c r="H103" s="19">
        <f t="shared" si="24"/>
        <v>31928.958409185467</v>
      </c>
      <c r="I103" s="19"/>
      <c r="J103" s="19"/>
      <c r="K103" s="19"/>
    </row>
    <row r="104" spans="1:11">
      <c r="C104" s="3">
        <v>7</v>
      </c>
      <c r="D104" s="19">
        <f t="shared" si="22"/>
        <v>30734.906112656467</v>
      </c>
      <c r="E104" s="19"/>
      <c r="F104" s="19">
        <f t="shared" si="23"/>
        <v>31928.958409185467</v>
      </c>
      <c r="G104" s="19"/>
      <c r="H104" s="19">
        <f t="shared" si="24"/>
        <v>32886.827161461035</v>
      </c>
      <c r="I104" s="19"/>
      <c r="J104" s="19"/>
      <c r="K104" s="19"/>
    </row>
    <row r="105" spans="1:11">
      <c r="C105" s="3">
        <v>8</v>
      </c>
      <c r="D105" s="19">
        <f t="shared" si="22"/>
        <v>31656.953296036161</v>
      </c>
      <c r="E105" s="19"/>
      <c r="F105" s="19">
        <f t="shared" si="23"/>
        <v>32886.827161461035</v>
      </c>
      <c r="G105" s="19"/>
      <c r="H105" s="19">
        <f t="shared" si="24"/>
        <v>33873.43197630487</v>
      </c>
      <c r="I105" s="19"/>
      <c r="J105" s="19"/>
      <c r="K105" s="19"/>
    </row>
    <row r="106" spans="1:11">
      <c r="C106" s="3">
        <v>9</v>
      </c>
      <c r="D106" s="19">
        <f t="shared" si="22"/>
        <v>32606.661894917248</v>
      </c>
      <c r="E106" s="19"/>
      <c r="F106" s="19">
        <f t="shared" si="23"/>
        <v>33873.43197630487</v>
      </c>
      <c r="G106" s="19"/>
      <c r="H106" s="19">
        <f t="shared" si="24"/>
        <v>34889.634935594018</v>
      </c>
      <c r="I106" s="19"/>
      <c r="J106" s="19"/>
      <c r="K106" s="19"/>
    </row>
    <row r="107" spans="1:11">
      <c r="C107" s="3">
        <v>10</v>
      </c>
      <c r="D107" s="19">
        <f t="shared" si="22"/>
        <v>33584.861751764765</v>
      </c>
      <c r="E107" s="19"/>
      <c r="F107" s="19">
        <f t="shared" si="23"/>
        <v>34889.634935594018</v>
      </c>
      <c r="G107" s="19"/>
      <c r="H107" s="19">
        <f t="shared" si="24"/>
        <v>35936.323983661838</v>
      </c>
      <c r="I107" s="19"/>
      <c r="J107" s="19"/>
      <c r="K107" s="19"/>
    </row>
    <row r="108" spans="1:11" s="2" customFormat="1"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3" t="s">
        <v>122</v>
      </c>
      <c r="D109" s="19"/>
      <c r="E109" s="19"/>
      <c r="F109" s="19"/>
      <c r="G109" s="19"/>
      <c r="H109" s="19"/>
      <c r="I109" s="19"/>
      <c r="J109" s="19"/>
      <c r="K109" s="19"/>
    </row>
    <row r="110" spans="1:11">
      <c r="C110" s="3" t="s">
        <v>109</v>
      </c>
      <c r="D110" s="19"/>
      <c r="E110" s="19"/>
      <c r="F110" s="19"/>
      <c r="G110" s="19"/>
      <c r="H110" s="19"/>
      <c r="I110" s="19"/>
      <c r="J110" s="19"/>
      <c r="K110" s="19"/>
    </row>
    <row r="111" spans="1:11">
      <c r="B111" s="3" t="str">
        <f>B97</f>
        <v>Level</v>
      </c>
      <c r="D111" s="19" t="s">
        <v>115</v>
      </c>
      <c r="E111" s="19"/>
      <c r="F111" s="19" t="s">
        <v>116</v>
      </c>
      <c r="G111" s="19"/>
      <c r="H111" s="19" t="s">
        <v>112</v>
      </c>
      <c r="I111" s="19"/>
      <c r="J111" s="19" t="s">
        <v>113</v>
      </c>
      <c r="K111" s="19"/>
    </row>
    <row r="112" spans="1:11">
      <c r="C112" s="3">
        <v>1</v>
      </c>
      <c r="D112" s="19">
        <f>55000*0.99-900</f>
        <v>53550</v>
      </c>
      <c r="E112" s="19"/>
      <c r="F112" s="19">
        <f>D112+500</f>
        <v>54050</v>
      </c>
      <c r="G112" s="19"/>
      <c r="H112" s="19">
        <f>F112+500</f>
        <v>54550</v>
      </c>
      <c r="I112" s="19"/>
      <c r="J112" s="19">
        <f>H112+750</f>
        <v>55300</v>
      </c>
      <c r="K112" s="19"/>
    </row>
    <row r="113" spans="3:11">
      <c r="C113" s="3">
        <v>2</v>
      </c>
      <c r="D113" s="19">
        <f t="shared" ref="D113:D121" si="25">D112*1.03</f>
        <v>55156.5</v>
      </c>
      <c r="E113" s="19"/>
      <c r="F113" s="19">
        <f t="shared" ref="F113:F121" si="26">F112*1.03</f>
        <v>55671.5</v>
      </c>
      <c r="G113" s="19"/>
      <c r="H113" s="19">
        <f t="shared" ref="H113:H121" si="27">F113*1.03</f>
        <v>57341.645000000004</v>
      </c>
      <c r="I113" s="19"/>
      <c r="J113" s="19">
        <f t="shared" ref="J113:J121" si="28">H113*1.03</f>
        <v>59061.894350000002</v>
      </c>
      <c r="K113" s="19"/>
    </row>
    <row r="114" spans="3:11">
      <c r="C114" s="3">
        <v>3</v>
      </c>
      <c r="D114" s="19">
        <f t="shared" si="25"/>
        <v>56811.195</v>
      </c>
      <c r="E114" s="19"/>
      <c r="F114" s="19">
        <f t="shared" si="26"/>
        <v>57341.645000000004</v>
      </c>
      <c r="G114" s="19"/>
      <c r="H114" s="19">
        <f t="shared" si="27"/>
        <v>59061.894350000002</v>
      </c>
      <c r="I114" s="19"/>
      <c r="J114" s="19">
        <f t="shared" si="28"/>
        <v>60833.751180500003</v>
      </c>
      <c r="K114" s="19"/>
    </row>
    <row r="115" spans="3:11">
      <c r="C115" s="3">
        <v>4</v>
      </c>
      <c r="D115" s="19">
        <f t="shared" si="25"/>
        <v>58515.530850000003</v>
      </c>
      <c r="E115" s="19"/>
      <c r="F115" s="19">
        <f t="shared" si="26"/>
        <v>59061.894350000002</v>
      </c>
      <c r="G115" s="19"/>
      <c r="H115" s="19">
        <f t="shared" si="27"/>
        <v>60833.751180500003</v>
      </c>
      <c r="I115" s="19"/>
      <c r="J115" s="19">
        <f t="shared" si="28"/>
        <v>62658.763715915004</v>
      </c>
      <c r="K115" s="19"/>
    </row>
    <row r="116" spans="3:11">
      <c r="C116" s="3">
        <v>5</v>
      </c>
      <c r="D116" s="19">
        <f t="shared" si="25"/>
        <v>60270.996775500003</v>
      </c>
      <c r="E116" s="19"/>
      <c r="F116" s="19">
        <f t="shared" si="26"/>
        <v>60833.751180500003</v>
      </c>
      <c r="G116" s="19"/>
      <c r="H116" s="19">
        <f t="shared" si="27"/>
        <v>62658.763715915004</v>
      </c>
      <c r="I116" s="19"/>
      <c r="J116" s="19">
        <f t="shared" si="28"/>
        <v>64538.526627392457</v>
      </c>
      <c r="K116" s="19"/>
    </row>
    <row r="117" spans="3:11">
      <c r="C117" s="3">
        <v>6</v>
      </c>
      <c r="D117" s="19">
        <f t="shared" si="25"/>
        <v>62079.126678765002</v>
      </c>
      <c r="E117" s="19"/>
      <c r="F117" s="19">
        <f t="shared" si="26"/>
        <v>62658.763715915004</v>
      </c>
      <c r="G117" s="19"/>
      <c r="H117" s="19">
        <f t="shared" si="27"/>
        <v>64538.526627392457</v>
      </c>
      <c r="I117" s="19"/>
      <c r="J117" s="19">
        <f t="shared" si="28"/>
        <v>66474.682426214233</v>
      </c>
      <c r="K117" s="19"/>
    </row>
    <row r="118" spans="3:11">
      <c r="C118" s="3">
        <v>7</v>
      </c>
      <c r="D118" s="19">
        <f t="shared" si="25"/>
        <v>63941.500479127957</v>
      </c>
      <c r="E118" s="19"/>
      <c r="F118" s="19">
        <f t="shared" si="26"/>
        <v>64538.526627392457</v>
      </c>
      <c r="G118" s="19"/>
      <c r="H118" s="19">
        <f t="shared" si="27"/>
        <v>66474.682426214233</v>
      </c>
      <c r="I118" s="19"/>
      <c r="J118" s="19">
        <f t="shared" si="28"/>
        <v>68468.922899000667</v>
      </c>
      <c r="K118" s="19"/>
    </row>
    <row r="119" spans="3:11">
      <c r="C119" s="3">
        <v>8</v>
      </c>
      <c r="D119" s="19">
        <f t="shared" si="25"/>
        <v>65859.745493501803</v>
      </c>
      <c r="E119" s="19"/>
      <c r="F119" s="19">
        <f t="shared" si="26"/>
        <v>66474.682426214233</v>
      </c>
      <c r="G119" s="19"/>
      <c r="H119" s="19">
        <f t="shared" si="27"/>
        <v>68468.922899000667</v>
      </c>
      <c r="I119" s="19"/>
      <c r="J119" s="19">
        <f t="shared" si="28"/>
        <v>70522.990585970692</v>
      </c>
      <c r="K119" s="19"/>
    </row>
    <row r="120" spans="3:11">
      <c r="C120" s="3">
        <v>9</v>
      </c>
      <c r="D120" s="19">
        <f t="shared" si="25"/>
        <v>67835.537858306852</v>
      </c>
      <c r="E120" s="19"/>
      <c r="F120" s="19">
        <f t="shared" si="26"/>
        <v>68468.922899000667</v>
      </c>
      <c r="G120" s="19"/>
      <c r="H120" s="19">
        <f t="shared" si="27"/>
        <v>70522.990585970692</v>
      </c>
      <c r="I120" s="19"/>
      <c r="J120" s="19">
        <f t="shared" si="28"/>
        <v>72638.680303549816</v>
      </c>
      <c r="K120" s="19"/>
    </row>
    <row r="121" spans="3:11">
      <c r="C121" s="3">
        <v>10</v>
      </c>
      <c r="D121" s="19">
        <f t="shared" si="25"/>
        <v>69870.603994056059</v>
      </c>
      <c r="E121" s="19"/>
      <c r="F121" s="19">
        <f t="shared" si="26"/>
        <v>70522.990585970692</v>
      </c>
      <c r="G121" s="19"/>
      <c r="H121" s="19">
        <f t="shared" si="27"/>
        <v>72638.680303549816</v>
      </c>
      <c r="I121" s="19"/>
      <c r="J121" s="19">
        <f t="shared" si="28"/>
        <v>74817.840712656311</v>
      </c>
      <c r="K121" s="19"/>
    </row>
    <row r="190" s="2" customFormat="1"/>
    <row r="193" s="2" customFormat="1"/>
  </sheetData>
  <phoneticPr fontId="22" type="noConversion"/>
  <pageMargins left="0.75" right="0.75" top="1.21" bottom="0.52" header="0.17" footer="0.17"/>
  <pageSetup orientation="portrait" r:id="rId1"/>
  <headerFooter alignWithMargins="0">
    <oddHeader>&amp;C&amp;"Arial,Bold"&amp;18International School of Louisiana
Operations Salary Schedule '12 - 2013
&amp;A&amp;RPrinted &amp;D&amp;T</oddHeader>
    <oddFooter>&amp;L&amp;6&amp;Z&amp;F&amp;RPage &amp;P of &amp;N</oddFooter>
  </headerFooter>
  <rowBreaks count="1" manualBreakCount="1"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7"/>
  <sheetViews>
    <sheetView workbookViewId="0">
      <selection activeCell="D14" sqref="D14"/>
    </sheetView>
  </sheetViews>
  <sheetFormatPr defaultRowHeight="12.75"/>
  <cols>
    <col min="1" max="1" width="4.42578125" style="3" customWidth="1"/>
    <col min="2" max="2" width="2" style="3" customWidth="1"/>
    <col min="3" max="3" width="3.28515625" style="3" customWidth="1"/>
    <col min="4" max="4" width="11.140625" style="3" customWidth="1"/>
    <col min="5" max="5" width="2.140625" style="3" customWidth="1"/>
    <col min="6" max="6" width="10" style="3" customWidth="1"/>
    <col min="7" max="7" width="2.85546875" style="3" customWidth="1"/>
    <col min="8" max="8" width="11.28515625" style="3" customWidth="1"/>
    <col min="9" max="9" width="2.42578125" style="3" customWidth="1"/>
    <col min="10" max="10" width="9.140625" style="3"/>
    <col min="11" max="11" width="2.85546875" style="3" customWidth="1"/>
    <col min="12" max="16384" width="9.140625" style="3"/>
  </cols>
  <sheetData>
    <row r="1" spans="1:10">
      <c r="A1" s="3" t="s">
        <v>123</v>
      </c>
    </row>
    <row r="2" spans="1:10">
      <c r="C2" s="3" t="s">
        <v>109</v>
      </c>
    </row>
    <row r="3" spans="1:10">
      <c r="B3" s="3" t="str">
        <f ca="1">'FC-SCH'!B3</f>
        <v>Level</v>
      </c>
      <c r="D3" s="3" t="s">
        <v>116</v>
      </c>
      <c r="F3" s="3" t="s">
        <v>112</v>
      </c>
      <c r="H3" s="3" t="s">
        <v>113</v>
      </c>
    </row>
    <row r="4" spans="1:10">
      <c r="C4" s="3">
        <v>1</v>
      </c>
      <c r="D4" s="19">
        <f>97500</f>
        <v>97500</v>
      </c>
      <c r="E4" s="19"/>
      <c r="F4" s="19">
        <f>D4+1000</f>
        <v>98500</v>
      </c>
      <c r="G4" s="19"/>
      <c r="H4" s="19">
        <f>F4+750</f>
        <v>99250</v>
      </c>
      <c r="I4" s="19"/>
      <c r="J4" s="19"/>
    </row>
    <row r="5" spans="1:10">
      <c r="C5" s="3">
        <v>2</v>
      </c>
      <c r="D5" s="19">
        <f t="shared" ref="D5:D21" si="0">D4*1.03</f>
        <v>100425</v>
      </c>
      <c r="E5" s="19"/>
      <c r="F5" s="19">
        <f>F4*1.03</f>
        <v>101455</v>
      </c>
      <c r="G5" s="19"/>
      <c r="H5" s="19">
        <f t="shared" ref="H5:H21" si="1">H4*1.03</f>
        <v>102227.5</v>
      </c>
      <c r="I5" s="19"/>
      <c r="J5" s="19"/>
    </row>
    <row r="6" spans="1:10">
      <c r="C6" s="3">
        <v>3</v>
      </c>
      <c r="D6" s="19">
        <f>D5*1.03</f>
        <v>103437.75</v>
      </c>
      <c r="E6" s="19"/>
      <c r="F6" s="19">
        <f>F5*1.03</f>
        <v>104498.65000000001</v>
      </c>
      <c r="G6" s="19"/>
      <c r="H6" s="19">
        <f>H5*1.03</f>
        <v>105294.325</v>
      </c>
      <c r="I6" s="19"/>
      <c r="J6" s="19"/>
    </row>
    <row r="7" spans="1:10">
      <c r="C7" s="3">
        <v>4</v>
      </c>
      <c r="D7" s="19">
        <f t="shared" si="0"/>
        <v>106540.88250000001</v>
      </c>
      <c r="E7" s="19"/>
      <c r="F7" s="19">
        <f>F6*1.03</f>
        <v>107633.60950000001</v>
      </c>
      <c r="G7" s="19"/>
      <c r="H7" s="19">
        <f t="shared" si="1"/>
        <v>108453.15475</v>
      </c>
      <c r="I7" s="19"/>
      <c r="J7" s="19"/>
    </row>
    <row r="8" spans="1:10">
      <c r="C8" s="3">
        <v>5</v>
      </c>
      <c r="D8" s="19">
        <f t="shared" si="0"/>
        <v>109737.10897500001</v>
      </c>
      <c r="E8" s="19"/>
      <c r="F8" s="19">
        <f>F7*1.03-300</f>
        <v>110562.61778500001</v>
      </c>
      <c r="G8" s="19"/>
      <c r="H8" s="19">
        <f t="shared" si="1"/>
        <v>111706.7493925</v>
      </c>
      <c r="I8" s="19"/>
      <c r="J8" s="19"/>
    </row>
    <row r="9" spans="1:10">
      <c r="C9" s="3">
        <v>6</v>
      </c>
      <c r="D9" s="19">
        <f t="shared" si="0"/>
        <v>113029.22224425002</v>
      </c>
      <c r="E9" s="19"/>
      <c r="F9" s="19">
        <f t="shared" ref="F9:F15" si="2">F8*1.03</f>
        <v>113879.49631855001</v>
      </c>
      <c r="G9" s="19"/>
      <c r="H9" s="19">
        <f t="shared" si="1"/>
        <v>115057.95187427501</v>
      </c>
      <c r="I9" s="19"/>
      <c r="J9" s="19"/>
    </row>
    <row r="10" spans="1:10">
      <c r="C10" s="3">
        <v>7</v>
      </c>
      <c r="D10" s="19">
        <f t="shared" si="0"/>
        <v>116420.09891157753</v>
      </c>
      <c r="E10" s="19"/>
      <c r="F10" s="19">
        <f t="shared" si="2"/>
        <v>117295.88120810651</v>
      </c>
      <c r="G10" s="19"/>
      <c r="H10" s="19">
        <f t="shared" si="1"/>
        <v>118509.69043050327</v>
      </c>
      <c r="I10" s="19"/>
      <c r="J10" s="19"/>
    </row>
    <row r="11" spans="1:10">
      <c r="C11" s="3">
        <v>8</v>
      </c>
      <c r="D11" s="19">
        <f t="shared" si="0"/>
        <v>119912.70187892485</v>
      </c>
      <c r="E11" s="19"/>
      <c r="F11" s="19">
        <f t="shared" si="2"/>
        <v>120814.75764434971</v>
      </c>
      <c r="G11" s="19"/>
      <c r="H11" s="19">
        <f t="shared" si="1"/>
        <v>122064.98114341836</v>
      </c>
      <c r="I11" s="19"/>
      <c r="J11" s="19"/>
    </row>
    <row r="12" spans="1:10">
      <c r="C12" s="3">
        <v>9</v>
      </c>
      <c r="D12" s="19">
        <f t="shared" si="0"/>
        <v>123510.08293529261</v>
      </c>
      <c r="E12" s="19"/>
      <c r="F12" s="19">
        <f t="shared" si="2"/>
        <v>124439.2003736802</v>
      </c>
      <c r="G12" s="19"/>
      <c r="H12" s="19">
        <f t="shared" si="1"/>
        <v>125726.93057772092</v>
      </c>
      <c r="I12" s="19"/>
      <c r="J12" s="19"/>
    </row>
    <row r="13" spans="1:10">
      <c r="C13" s="3">
        <v>10</v>
      </c>
      <c r="D13" s="19">
        <f t="shared" si="0"/>
        <v>127215.38542335138</v>
      </c>
      <c r="E13" s="19"/>
      <c r="F13" s="19">
        <f t="shared" si="2"/>
        <v>128172.37638489061</v>
      </c>
      <c r="G13" s="19"/>
      <c r="H13" s="19">
        <f t="shared" si="1"/>
        <v>129498.73849505256</v>
      </c>
      <c r="I13" s="19"/>
      <c r="J13" s="19"/>
    </row>
    <row r="14" spans="1:10">
      <c r="C14" s="3">
        <v>11</v>
      </c>
      <c r="D14" s="19">
        <f>D13*1.03-1032</f>
        <v>129999.84698605193</v>
      </c>
      <c r="E14" s="19"/>
      <c r="F14" s="19">
        <f t="shared" si="2"/>
        <v>132017.54767643733</v>
      </c>
      <c r="G14" s="19"/>
      <c r="H14" s="19">
        <f>H13*1.03</f>
        <v>133383.70064990415</v>
      </c>
      <c r="I14" s="19"/>
      <c r="J14" s="19"/>
    </row>
    <row r="15" spans="1:10">
      <c r="C15" s="3">
        <v>12</v>
      </c>
      <c r="D15" s="19">
        <f t="shared" si="0"/>
        <v>133899.84239563349</v>
      </c>
      <c r="E15" s="19"/>
      <c r="F15" s="19">
        <f t="shared" si="2"/>
        <v>135978.07410673046</v>
      </c>
      <c r="G15" s="19"/>
      <c r="H15" s="19">
        <f t="shared" si="1"/>
        <v>137385.21166940127</v>
      </c>
      <c r="I15" s="19"/>
      <c r="J15" s="19"/>
    </row>
    <row r="16" spans="1:10">
      <c r="C16" s="3">
        <v>13</v>
      </c>
      <c r="D16" s="19">
        <f t="shared" si="0"/>
        <v>137916.83766750249</v>
      </c>
      <c r="E16" s="19"/>
      <c r="F16" s="19">
        <f>F15*1.03-300</f>
        <v>139757.41632993237</v>
      </c>
      <c r="G16" s="19"/>
      <c r="H16" s="19">
        <f t="shared" si="1"/>
        <v>141506.76801948331</v>
      </c>
      <c r="I16" s="19"/>
      <c r="J16" s="19"/>
    </row>
    <row r="17" spans="1:10">
      <c r="C17" s="3">
        <v>14</v>
      </c>
      <c r="D17" s="19">
        <f t="shared" si="0"/>
        <v>142054.34279752758</v>
      </c>
      <c r="E17" s="19"/>
      <c r="F17" s="19">
        <f>F16*1.03</f>
        <v>143950.13881983035</v>
      </c>
      <c r="G17" s="19"/>
      <c r="H17" s="19">
        <f t="shared" si="1"/>
        <v>145751.97106006782</v>
      </c>
      <c r="I17" s="19"/>
      <c r="J17" s="19"/>
    </row>
    <row r="18" spans="1:10">
      <c r="C18" s="3">
        <v>15</v>
      </c>
      <c r="D18" s="19">
        <f t="shared" si="0"/>
        <v>146315.97308145341</v>
      </c>
      <c r="E18" s="19"/>
      <c r="F18" s="19">
        <f>F17*1.03</f>
        <v>148268.64298442527</v>
      </c>
      <c r="G18" s="19"/>
      <c r="H18" s="19">
        <f t="shared" si="1"/>
        <v>150124.53019186985</v>
      </c>
      <c r="I18" s="19"/>
      <c r="J18" s="19"/>
    </row>
    <row r="19" spans="1:10">
      <c r="C19" s="3">
        <v>16</v>
      </c>
      <c r="D19" s="19">
        <f>D18*1.03</f>
        <v>150705.45227389701</v>
      </c>
      <c r="E19" s="19"/>
      <c r="F19" s="19">
        <f>F18*1.03</f>
        <v>152716.70227395804</v>
      </c>
      <c r="G19" s="19"/>
      <c r="H19" s="19">
        <f t="shared" si="1"/>
        <v>154628.26609762595</v>
      </c>
      <c r="I19" s="19"/>
      <c r="J19" s="19"/>
    </row>
    <row r="20" spans="1:10">
      <c r="C20" s="3">
        <v>17</v>
      </c>
      <c r="D20" s="19">
        <f>D19*1.03</f>
        <v>155226.61584211391</v>
      </c>
      <c r="E20" s="19"/>
      <c r="F20" s="19">
        <f>F19*1.03</f>
        <v>157298.2033421768</v>
      </c>
      <c r="G20" s="19"/>
      <c r="H20" s="19">
        <f t="shared" si="1"/>
        <v>159267.11408055475</v>
      </c>
      <c r="I20" s="19"/>
      <c r="J20" s="19"/>
    </row>
    <row r="21" spans="1:10">
      <c r="C21" s="3">
        <v>18</v>
      </c>
      <c r="D21" s="19">
        <f t="shared" si="0"/>
        <v>159883.41431737732</v>
      </c>
      <c r="E21" s="19"/>
      <c r="F21" s="19">
        <f>F20*1.03</f>
        <v>162017.14944244211</v>
      </c>
      <c r="G21" s="19"/>
      <c r="H21" s="19">
        <f t="shared" si="1"/>
        <v>164045.12750297139</v>
      </c>
      <c r="I21" s="19"/>
      <c r="J21" s="19"/>
    </row>
    <row r="22" spans="1:10">
      <c r="D22" s="19"/>
      <c r="E22" s="19"/>
      <c r="F22" s="19"/>
      <c r="G22" s="19"/>
      <c r="H22" s="19"/>
      <c r="I22" s="19"/>
      <c r="J22" s="19"/>
    </row>
    <row r="23" spans="1:10">
      <c r="D23" s="19"/>
      <c r="E23" s="19"/>
      <c r="F23" s="19"/>
      <c r="G23" s="19"/>
      <c r="H23" s="19"/>
      <c r="I23" s="19"/>
      <c r="J23" s="19"/>
    </row>
    <row r="24" spans="1:10">
      <c r="A24" s="3" t="s">
        <v>124</v>
      </c>
      <c r="D24" s="19"/>
      <c r="E24" s="19"/>
      <c r="F24" s="19"/>
      <c r="G24" s="19"/>
      <c r="H24" s="21" t="s">
        <v>421</v>
      </c>
      <c r="I24" s="19"/>
      <c r="J24" s="19"/>
    </row>
    <row r="25" spans="1:10">
      <c r="C25" s="3" t="s">
        <v>109</v>
      </c>
      <c r="D25" s="19"/>
      <c r="E25" s="19"/>
      <c r="F25" s="19"/>
      <c r="G25" s="19"/>
      <c r="H25" s="19"/>
      <c r="I25" s="19"/>
      <c r="J25" s="19"/>
    </row>
    <row r="26" spans="1:10">
      <c r="B26" s="3" t="str">
        <f>B3</f>
        <v>Level</v>
      </c>
      <c r="D26" s="19" t="s">
        <v>118</v>
      </c>
      <c r="E26" s="19"/>
      <c r="F26" s="19" t="s">
        <v>115</v>
      </c>
      <c r="G26" s="19"/>
      <c r="H26" s="19"/>
      <c r="I26" s="19"/>
      <c r="J26" s="19"/>
    </row>
    <row r="27" spans="1:10">
      <c r="C27" s="3">
        <v>1</v>
      </c>
      <c r="D27" s="19">
        <f>28500*0.99</f>
        <v>28215</v>
      </c>
      <c r="E27" s="19"/>
      <c r="F27" s="19">
        <f>D27+1000</f>
        <v>29215</v>
      </c>
      <c r="G27" s="19"/>
      <c r="H27" s="19">
        <v>40000</v>
      </c>
      <c r="I27" s="19"/>
      <c r="J27" s="19"/>
    </row>
    <row r="28" spans="1:10">
      <c r="C28" s="3">
        <v>2</v>
      </c>
      <c r="D28" s="19">
        <f t="shared" ref="D28:D36" si="3">D27*1.03</f>
        <v>29061.45</v>
      </c>
      <c r="E28" s="19"/>
      <c r="F28" s="19">
        <f t="shared" ref="F28:F36" si="4">D28*1.03</f>
        <v>29933.2935</v>
      </c>
      <c r="G28" s="19"/>
      <c r="H28" s="19">
        <f t="shared" ref="H28:H36" si="5">H27*1.03</f>
        <v>41200</v>
      </c>
      <c r="I28" s="19"/>
      <c r="J28" s="19"/>
    </row>
    <row r="29" spans="1:10">
      <c r="C29" s="3">
        <v>3</v>
      </c>
      <c r="D29" s="19">
        <f t="shared" si="3"/>
        <v>29933.2935</v>
      </c>
      <c r="E29" s="19"/>
      <c r="F29" s="19">
        <f t="shared" si="4"/>
        <v>30831.292304999999</v>
      </c>
      <c r="G29" s="19"/>
      <c r="H29" s="19">
        <f t="shared" si="5"/>
        <v>42436</v>
      </c>
      <c r="I29" s="19"/>
      <c r="J29" s="19"/>
    </row>
    <row r="30" spans="1:10">
      <c r="C30" s="3">
        <v>4</v>
      </c>
      <c r="D30" s="19">
        <f t="shared" si="3"/>
        <v>30831.292304999999</v>
      </c>
      <c r="E30" s="19"/>
      <c r="F30" s="19">
        <f t="shared" si="4"/>
        <v>31756.23107415</v>
      </c>
      <c r="G30" s="19"/>
      <c r="H30" s="19">
        <f t="shared" si="5"/>
        <v>43709.08</v>
      </c>
      <c r="I30" s="19"/>
      <c r="J30" s="19"/>
    </row>
    <row r="31" spans="1:10">
      <c r="C31" s="3">
        <v>5</v>
      </c>
      <c r="D31" s="19">
        <f t="shared" si="3"/>
        <v>31756.23107415</v>
      </c>
      <c r="E31" s="19"/>
      <c r="F31" s="19">
        <f t="shared" si="4"/>
        <v>32708.918006374501</v>
      </c>
      <c r="G31" s="19"/>
      <c r="H31" s="19">
        <f t="shared" si="5"/>
        <v>45020.352400000003</v>
      </c>
      <c r="I31" s="19"/>
      <c r="J31" s="19"/>
    </row>
    <row r="32" spans="1:10">
      <c r="C32" s="3">
        <v>6</v>
      </c>
      <c r="D32" s="19">
        <f t="shared" si="3"/>
        <v>32708.918006374501</v>
      </c>
      <c r="E32" s="19"/>
      <c r="F32" s="19">
        <f t="shared" si="4"/>
        <v>33690.185546565735</v>
      </c>
      <c r="G32" s="19"/>
      <c r="H32" s="19">
        <f t="shared" si="5"/>
        <v>46370.962972000001</v>
      </c>
      <c r="I32" s="19"/>
      <c r="J32" s="19"/>
    </row>
    <row r="33" spans="1:10">
      <c r="C33" s="3">
        <v>7</v>
      </c>
      <c r="D33" s="19">
        <f t="shared" si="3"/>
        <v>33690.185546565735</v>
      </c>
      <c r="E33" s="19"/>
      <c r="F33" s="19">
        <f t="shared" si="4"/>
        <v>34700.891112962709</v>
      </c>
      <c r="G33" s="19"/>
      <c r="H33" s="19">
        <f t="shared" si="5"/>
        <v>47762.091861159999</v>
      </c>
      <c r="I33" s="19"/>
      <c r="J33" s="19"/>
    </row>
    <row r="34" spans="1:10">
      <c r="C34" s="3">
        <v>8</v>
      </c>
      <c r="D34" s="19">
        <f t="shared" si="3"/>
        <v>34700.891112962709</v>
      </c>
      <c r="E34" s="19"/>
      <c r="F34" s="19">
        <f t="shared" si="4"/>
        <v>35741.917846351593</v>
      </c>
      <c r="G34" s="19"/>
      <c r="H34" s="19">
        <f t="shared" si="5"/>
        <v>49194.954616994801</v>
      </c>
      <c r="I34" s="19"/>
      <c r="J34" s="19"/>
    </row>
    <row r="35" spans="1:10">
      <c r="C35" s="3">
        <v>9</v>
      </c>
      <c r="D35" s="19">
        <f t="shared" si="3"/>
        <v>35741.917846351593</v>
      </c>
      <c r="E35" s="19"/>
      <c r="F35" s="19">
        <f t="shared" si="4"/>
        <v>36814.175381742141</v>
      </c>
      <c r="G35" s="19"/>
      <c r="H35" s="19">
        <f t="shared" si="5"/>
        <v>50670.803255504645</v>
      </c>
      <c r="I35" s="19"/>
      <c r="J35" s="19"/>
    </row>
    <row r="36" spans="1:10">
      <c r="C36" s="3">
        <v>10</v>
      </c>
      <c r="D36" s="19">
        <f t="shared" si="3"/>
        <v>36814.175381742141</v>
      </c>
      <c r="E36" s="19"/>
      <c r="F36" s="19">
        <f t="shared" si="4"/>
        <v>37918.600643194404</v>
      </c>
      <c r="G36" s="19"/>
      <c r="H36" s="19">
        <f t="shared" si="5"/>
        <v>52190.927353169784</v>
      </c>
      <c r="I36" s="19"/>
      <c r="J36" s="19"/>
    </row>
    <row r="37" spans="1:10">
      <c r="D37" s="19"/>
      <c r="E37" s="19"/>
      <c r="F37" s="19"/>
      <c r="G37" s="19"/>
      <c r="H37" s="19"/>
      <c r="I37" s="19"/>
      <c r="J37" s="19"/>
    </row>
    <row r="38" spans="1:10">
      <c r="D38" s="19"/>
      <c r="E38" s="19"/>
      <c r="F38" s="19"/>
      <c r="G38" s="19"/>
      <c r="H38" s="19"/>
      <c r="I38" s="19"/>
      <c r="J38" s="19"/>
    </row>
    <row r="39" spans="1:10">
      <c r="A39" s="3" t="s">
        <v>125</v>
      </c>
      <c r="D39" s="19"/>
      <c r="E39" s="19"/>
      <c r="F39" s="19"/>
      <c r="G39" s="19"/>
      <c r="H39" s="19"/>
      <c r="I39" s="19"/>
      <c r="J39" s="19"/>
    </row>
    <row r="40" spans="1:10">
      <c r="C40" s="3" t="s">
        <v>109</v>
      </c>
      <c r="D40" s="19"/>
      <c r="E40" s="19"/>
      <c r="F40" s="19"/>
      <c r="G40" s="19"/>
      <c r="H40" s="19"/>
      <c r="I40" s="19"/>
      <c r="J40" s="19"/>
    </row>
    <row r="41" spans="1:10">
      <c r="B41" s="3" t="str">
        <f>B3</f>
        <v>Level</v>
      </c>
      <c r="D41" s="19" t="s">
        <v>118</v>
      </c>
      <c r="E41" s="19"/>
      <c r="F41" s="19" t="s">
        <v>115</v>
      </c>
      <c r="G41" s="19"/>
      <c r="H41" s="19"/>
      <c r="I41" s="19"/>
      <c r="J41" s="19"/>
    </row>
    <row r="42" spans="1:10">
      <c r="C42" s="3">
        <v>1</v>
      </c>
      <c r="D42" s="19">
        <f>23000*0.99</f>
        <v>22770</v>
      </c>
      <c r="E42" s="19"/>
      <c r="F42" s="19">
        <f>D42+1000</f>
        <v>23770</v>
      </c>
      <c r="G42" s="19"/>
      <c r="H42" s="19"/>
      <c r="I42" s="19"/>
      <c r="J42" s="19"/>
    </row>
    <row r="43" spans="1:10">
      <c r="C43" s="3">
        <v>2</v>
      </c>
      <c r="D43" s="19">
        <f t="shared" ref="D43:D51" si="6">D42*1.03</f>
        <v>23453.100000000002</v>
      </c>
      <c r="E43" s="19"/>
      <c r="F43" s="19">
        <f t="shared" ref="F43:F51" si="7">D43*1.03</f>
        <v>24156.693000000003</v>
      </c>
      <c r="G43" s="19"/>
      <c r="H43" s="19"/>
      <c r="I43" s="19"/>
      <c r="J43" s="19"/>
    </row>
    <row r="44" spans="1:10">
      <c r="C44" s="3">
        <v>3</v>
      </c>
      <c r="D44" s="19">
        <f t="shared" si="6"/>
        <v>24156.693000000003</v>
      </c>
      <c r="E44" s="19"/>
      <c r="F44" s="19">
        <f t="shared" si="7"/>
        <v>24881.393790000002</v>
      </c>
      <c r="G44" s="19"/>
      <c r="H44" s="19"/>
      <c r="I44" s="19"/>
      <c r="J44" s="19"/>
    </row>
    <row r="45" spans="1:10">
      <c r="C45" s="3">
        <v>4</v>
      </c>
      <c r="D45" s="19">
        <f t="shared" si="6"/>
        <v>24881.393790000002</v>
      </c>
      <c r="E45" s="19"/>
      <c r="F45" s="19">
        <f t="shared" si="7"/>
        <v>25627.835603700001</v>
      </c>
      <c r="G45" s="19"/>
      <c r="H45" s="19"/>
      <c r="I45" s="19"/>
      <c r="J45" s="19"/>
    </row>
    <row r="46" spans="1:10">
      <c r="C46" s="3">
        <v>5</v>
      </c>
      <c r="D46" s="19">
        <f t="shared" si="6"/>
        <v>25627.835603700001</v>
      </c>
      <c r="E46" s="19"/>
      <c r="F46" s="19">
        <f t="shared" si="7"/>
        <v>26396.670671811004</v>
      </c>
      <c r="G46" s="19"/>
      <c r="H46" s="19"/>
      <c r="I46" s="19"/>
      <c r="J46" s="19"/>
    </row>
    <row r="47" spans="1:10">
      <c r="C47" s="3">
        <v>6</v>
      </c>
      <c r="D47" s="19">
        <f t="shared" si="6"/>
        <v>26396.670671811004</v>
      </c>
      <c r="E47" s="19"/>
      <c r="F47" s="19">
        <f t="shared" si="7"/>
        <v>27188.570791965336</v>
      </c>
      <c r="G47" s="19"/>
      <c r="H47" s="19"/>
      <c r="I47" s="19"/>
      <c r="J47" s="19"/>
    </row>
    <row r="48" spans="1:10">
      <c r="C48" s="3">
        <v>7</v>
      </c>
      <c r="D48" s="19">
        <f t="shared" si="6"/>
        <v>27188.570791965336</v>
      </c>
      <c r="E48" s="19"/>
      <c r="F48" s="19">
        <f t="shared" si="7"/>
        <v>28004.227915724296</v>
      </c>
      <c r="G48" s="19"/>
      <c r="H48" s="19"/>
      <c r="I48" s="19"/>
      <c r="J48" s="19"/>
    </row>
    <row r="49" spans="1:10">
      <c r="C49" s="3">
        <v>8</v>
      </c>
      <c r="D49" s="19">
        <f t="shared" si="6"/>
        <v>28004.227915724296</v>
      </c>
      <c r="E49" s="19"/>
      <c r="F49" s="19">
        <f t="shared" si="7"/>
        <v>28844.354753196025</v>
      </c>
      <c r="G49" s="19"/>
      <c r="H49" s="19"/>
      <c r="I49" s="19"/>
      <c r="J49" s="19"/>
    </row>
    <row r="50" spans="1:10">
      <c r="C50" s="3">
        <v>9</v>
      </c>
      <c r="D50" s="19">
        <f t="shared" si="6"/>
        <v>28844.354753196025</v>
      </c>
      <c r="E50" s="19"/>
      <c r="F50" s="19">
        <f t="shared" si="7"/>
        <v>29709.685395791905</v>
      </c>
      <c r="G50" s="19"/>
      <c r="H50" s="19"/>
      <c r="I50" s="19"/>
      <c r="J50" s="19"/>
    </row>
    <row r="51" spans="1:10">
      <c r="C51" s="3">
        <v>10</v>
      </c>
      <c r="D51" s="19">
        <f t="shared" si="6"/>
        <v>29709.685395791905</v>
      </c>
      <c r="E51" s="19"/>
      <c r="F51" s="19">
        <f t="shared" si="7"/>
        <v>30600.975957665662</v>
      </c>
      <c r="G51" s="19"/>
      <c r="H51" s="19"/>
      <c r="I51" s="19"/>
      <c r="J51" s="19"/>
    </row>
    <row r="52" spans="1:10">
      <c r="D52" s="19"/>
      <c r="E52" s="19"/>
      <c r="F52" s="19"/>
      <c r="G52" s="19"/>
      <c r="H52" s="19"/>
      <c r="I52" s="19"/>
      <c r="J52" s="19"/>
    </row>
    <row r="53" spans="1:10">
      <c r="D53" s="19"/>
      <c r="E53" s="19"/>
      <c r="F53" s="19"/>
      <c r="G53" s="19"/>
      <c r="H53" s="19"/>
      <c r="I53" s="19"/>
      <c r="J53" s="19"/>
    </row>
    <row r="54" spans="1:10">
      <c r="A54" s="3" t="s">
        <v>126</v>
      </c>
      <c r="D54" s="19"/>
      <c r="E54" s="19"/>
      <c r="F54" s="19"/>
      <c r="G54" s="19"/>
      <c r="H54" s="19"/>
      <c r="I54" s="19"/>
      <c r="J54" s="19"/>
    </row>
    <row r="55" spans="1:10">
      <c r="C55" s="3" t="s">
        <v>109</v>
      </c>
      <c r="D55" s="19"/>
      <c r="E55" s="19"/>
      <c r="F55" s="19"/>
      <c r="G55" s="19"/>
      <c r="H55" s="19"/>
      <c r="I55" s="19"/>
      <c r="J55" s="19"/>
    </row>
    <row r="56" spans="1:10">
      <c r="B56" s="3" t="str">
        <f>B41</f>
        <v>Level</v>
      </c>
      <c r="D56" s="19" t="s">
        <v>115</v>
      </c>
      <c r="E56" s="19"/>
      <c r="F56" s="19" t="s">
        <v>116</v>
      </c>
      <c r="G56" s="19"/>
      <c r="H56" s="19" t="s">
        <v>112</v>
      </c>
      <c r="I56" s="19"/>
      <c r="J56" s="19" t="s">
        <v>113</v>
      </c>
    </row>
    <row r="57" spans="1:10">
      <c r="C57" s="3">
        <v>1</v>
      </c>
      <c r="D57" s="19">
        <f>34000*0.99</f>
        <v>33660</v>
      </c>
      <c r="E57" s="19"/>
      <c r="F57" s="19">
        <f>D57+1000</f>
        <v>34660</v>
      </c>
      <c r="G57" s="19"/>
      <c r="H57" s="19">
        <f>F57+500</f>
        <v>35160</v>
      </c>
      <c r="I57" s="19"/>
      <c r="J57" s="19">
        <f>H57+750</f>
        <v>35910</v>
      </c>
    </row>
    <row r="58" spans="1:10">
      <c r="C58" s="3">
        <v>2</v>
      </c>
      <c r="D58" s="19">
        <f t="shared" ref="D58:D76" si="8">D57*1.03</f>
        <v>34669.800000000003</v>
      </c>
      <c r="E58" s="19"/>
      <c r="F58" s="19">
        <f t="shared" ref="F58:F66" si="9">D58*1.03</f>
        <v>35709.894000000008</v>
      </c>
      <c r="G58" s="19"/>
      <c r="H58" s="19">
        <f t="shared" ref="H58:H66" si="10">F58*1.03</f>
        <v>36781.190820000011</v>
      </c>
      <c r="I58" s="19"/>
      <c r="J58" s="19">
        <f t="shared" ref="J58:J66" si="11">H58*1.03</f>
        <v>37884.626544600011</v>
      </c>
    </row>
    <row r="59" spans="1:10">
      <c r="C59" s="3">
        <v>3</v>
      </c>
      <c r="D59" s="19">
        <f t="shared" si="8"/>
        <v>35709.894000000008</v>
      </c>
      <c r="E59" s="19"/>
      <c r="F59" s="19">
        <f t="shared" si="9"/>
        <v>36781.190820000011</v>
      </c>
      <c r="G59" s="19"/>
      <c r="H59" s="19">
        <f t="shared" si="10"/>
        <v>37884.626544600011</v>
      </c>
      <c r="I59" s="19"/>
      <c r="J59" s="19">
        <f t="shared" si="11"/>
        <v>39021.165340938009</v>
      </c>
    </row>
    <row r="60" spans="1:10">
      <c r="C60" s="3">
        <v>4</v>
      </c>
      <c r="D60" s="19">
        <f t="shared" si="8"/>
        <v>36781.190820000011</v>
      </c>
      <c r="E60" s="19"/>
      <c r="F60" s="19">
        <f t="shared" si="9"/>
        <v>37884.626544600011</v>
      </c>
      <c r="G60" s="19"/>
      <c r="H60" s="19">
        <f t="shared" si="10"/>
        <v>39021.165340938009</v>
      </c>
      <c r="I60" s="19"/>
      <c r="J60" s="19">
        <f t="shared" si="11"/>
        <v>40191.800301166149</v>
      </c>
    </row>
    <row r="61" spans="1:10">
      <c r="C61" s="3">
        <v>5</v>
      </c>
      <c r="D61" s="19">
        <f t="shared" si="8"/>
        <v>37884.626544600011</v>
      </c>
      <c r="E61" s="19"/>
      <c r="F61" s="19">
        <f t="shared" si="9"/>
        <v>39021.165340938009</v>
      </c>
      <c r="G61" s="19"/>
      <c r="H61" s="19">
        <f t="shared" si="10"/>
        <v>40191.800301166149</v>
      </c>
      <c r="I61" s="19"/>
      <c r="J61" s="19">
        <f t="shared" si="11"/>
        <v>41397.554310201136</v>
      </c>
    </row>
    <row r="62" spans="1:10">
      <c r="C62" s="3">
        <v>6</v>
      </c>
      <c r="D62" s="19">
        <f t="shared" si="8"/>
        <v>39021.165340938009</v>
      </c>
      <c r="E62" s="19"/>
      <c r="F62" s="19">
        <f t="shared" si="9"/>
        <v>40191.800301166149</v>
      </c>
      <c r="G62" s="19"/>
      <c r="H62" s="19">
        <f t="shared" si="10"/>
        <v>41397.554310201136</v>
      </c>
      <c r="I62" s="19"/>
      <c r="J62" s="19">
        <f t="shared" si="11"/>
        <v>42639.480939507172</v>
      </c>
    </row>
    <row r="63" spans="1:10">
      <c r="C63" s="3">
        <v>7</v>
      </c>
      <c r="D63" s="19">
        <f t="shared" si="8"/>
        <v>40191.800301166149</v>
      </c>
      <c r="E63" s="19"/>
      <c r="F63" s="19">
        <f t="shared" si="9"/>
        <v>41397.554310201136</v>
      </c>
      <c r="G63" s="19"/>
      <c r="H63" s="19">
        <f t="shared" si="10"/>
        <v>42639.480939507172</v>
      </c>
      <c r="I63" s="19"/>
      <c r="J63" s="19">
        <f t="shared" si="11"/>
        <v>43918.665367692389</v>
      </c>
    </row>
    <row r="64" spans="1:10">
      <c r="C64" s="3">
        <v>8</v>
      </c>
      <c r="D64" s="19">
        <f t="shared" si="8"/>
        <v>41397.554310201136</v>
      </c>
      <c r="E64" s="19"/>
      <c r="F64" s="19">
        <f t="shared" si="9"/>
        <v>42639.480939507172</v>
      </c>
      <c r="G64" s="19"/>
      <c r="H64" s="19">
        <f t="shared" si="10"/>
        <v>43918.665367692389</v>
      </c>
      <c r="I64" s="19"/>
      <c r="J64" s="19">
        <f t="shared" si="11"/>
        <v>45236.225328723165</v>
      </c>
    </row>
    <row r="65" spans="1:10">
      <c r="C65" s="3">
        <v>9</v>
      </c>
      <c r="D65" s="19">
        <f t="shared" si="8"/>
        <v>42639.480939507172</v>
      </c>
      <c r="E65" s="19"/>
      <c r="F65" s="19">
        <f t="shared" si="9"/>
        <v>43918.665367692389</v>
      </c>
      <c r="G65" s="19"/>
      <c r="H65" s="19">
        <f t="shared" si="10"/>
        <v>45236.225328723165</v>
      </c>
      <c r="I65" s="19"/>
      <c r="J65" s="19">
        <f t="shared" si="11"/>
        <v>46593.312088584862</v>
      </c>
    </row>
    <row r="66" spans="1:10">
      <c r="C66" s="3">
        <v>10</v>
      </c>
      <c r="D66" s="19">
        <f t="shared" si="8"/>
        <v>43918.665367692389</v>
      </c>
      <c r="E66" s="19"/>
      <c r="F66" s="19">
        <f t="shared" si="9"/>
        <v>45236.225328723165</v>
      </c>
      <c r="G66" s="19"/>
      <c r="H66" s="19">
        <f t="shared" si="10"/>
        <v>46593.312088584862</v>
      </c>
      <c r="I66" s="19"/>
      <c r="J66" s="19">
        <f t="shared" si="11"/>
        <v>47991.11145124241</v>
      </c>
    </row>
    <row r="67" spans="1:10">
      <c r="C67" s="3">
        <v>11</v>
      </c>
      <c r="D67" s="19">
        <f>D66*1.03</f>
        <v>45236.225328723165</v>
      </c>
      <c r="E67" s="19"/>
      <c r="F67" s="19">
        <f>D67*1.03</f>
        <v>46593.312088584862</v>
      </c>
      <c r="G67" s="19"/>
      <c r="H67" s="19">
        <f>F67*1.03</f>
        <v>47991.11145124241</v>
      </c>
      <c r="I67" s="19"/>
      <c r="J67" s="19">
        <f>H67*1.03</f>
        <v>49430.844794779681</v>
      </c>
    </row>
    <row r="68" spans="1:10">
      <c r="C68" s="3">
        <v>12</v>
      </c>
      <c r="D68" s="19">
        <f t="shared" si="8"/>
        <v>46593.312088584862</v>
      </c>
      <c r="E68" s="19"/>
      <c r="F68" s="19">
        <f t="shared" ref="F68:F76" si="12">D68*1.03</f>
        <v>47991.11145124241</v>
      </c>
      <c r="G68" s="19"/>
      <c r="H68" s="19">
        <f t="shared" ref="H68:H76" si="13">F68*1.03</f>
        <v>49430.844794779681</v>
      </c>
      <c r="I68" s="19"/>
      <c r="J68" s="19">
        <f t="shared" ref="J68:J76" si="14">H68*1.03</f>
        <v>50913.770138623076</v>
      </c>
    </row>
    <row r="69" spans="1:10">
      <c r="C69" s="3">
        <v>13</v>
      </c>
      <c r="D69" s="19">
        <f t="shared" si="8"/>
        <v>47991.11145124241</v>
      </c>
      <c r="E69" s="19"/>
      <c r="F69" s="19">
        <f t="shared" si="12"/>
        <v>49430.844794779681</v>
      </c>
      <c r="G69" s="19"/>
      <c r="H69" s="19">
        <f t="shared" si="13"/>
        <v>50913.770138623076</v>
      </c>
      <c r="I69" s="19"/>
      <c r="J69" s="19">
        <f t="shared" si="14"/>
        <v>52441.183242781772</v>
      </c>
    </row>
    <row r="70" spans="1:10">
      <c r="C70" s="3">
        <v>14</v>
      </c>
      <c r="D70" s="19">
        <f t="shared" si="8"/>
        <v>49430.844794779681</v>
      </c>
      <c r="E70" s="19"/>
      <c r="F70" s="19">
        <f t="shared" si="12"/>
        <v>50913.770138623076</v>
      </c>
      <c r="G70" s="19"/>
      <c r="H70" s="19">
        <f t="shared" si="13"/>
        <v>52441.183242781772</v>
      </c>
      <c r="I70" s="19"/>
      <c r="J70" s="19">
        <f t="shared" si="14"/>
        <v>54014.418740065223</v>
      </c>
    </row>
    <row r="71" spans="1:10">
      <c r="C71" s="3">
        <v>15</v>
      </c>
      <c r="D71" s="19">
        <f t="shared" si="8"/>
        <v>50913.770138623076</v>
      </c>
      <c r="E71" s="19"/>
      <c r="F71" s="19">
        <f t="shared" si="12"/>
        <v>52441.183242781772</v>
      </c>
      <c r="G71" s="19"/>
      <c r="H71" s="19">
        <f t="shared" si="13"/>
        <v>54014.418740065223</v>
      </c>
      <c r="I71" s="19"/>
      <c r="J71" s="19">
        <f t="shared" si="14"/>
        <v>55634.851302267183</v>
      </c>
    </row>
    <row r="72" spans="1:10">
      <c r="C72" s="3">
        <v>16</v>
      </c>
      <c r="D72" s="19">
        <f t="shared" si="8"/>
        <v>52441.183242781772</v>
      </c>
      <c r="E72" s="19"/>
      <c r="F72" s="19">
        <f t="shared" si="12"/>
        <v>54014.418740065223</v>
      </c>
      <c r="G72" s="19"/>
      <c r="H72" s="19">
        <f t="shared" si="13"/>
        <v>55634.851302267183</v>
      </c>
      <c r="I72" s="19"/>
      <c r="J72" s="19">
        <f t="shared" si="14"/>
        <v>57303.896841335198</v>
      </c>
    </row>
    <row r="73" spans="1:10">
      <c r="C73" s="3">
        <v>17</v>
      </c>
      <c r="D73" s="19">
        <f t="shared" si="8"/>
        <v>54014.418740065223</v>
      </c>
      <c r="E73" s="19"/>
      <c r="F73" s="19">
        <f t="shared" si="12"/>
        <v>55634.851302267183</v>
      </c>
      <c r="G73" s="19"/>
      <c r="H73" s="19">
        <f t="shared" si="13"/>
        <v>57303.896841335198</v>
      </c>
      <c r="I73" s="19"/>
      <c r="J73" s="19">
        <f t="shared" si="14"/>
        <v>59023.013746575256</v>
      </c>
    </row>
    <row r="74" spans="1:10">
      <c r="C74" s="3">
        <v>18</v>
      </c>
      <c r="D74" s="19">
        <f t="shared" si="8"/>
        <v>55634.851302267183</v>
      </c>
      <c r="E74" s="19"/>
      <c r="F74" s="19">
        <f t="shared" si="12"/>
        <v>57303.896841335198</v>
      </c>
      <c r="G74" s="19"/>
      <c r="H74" s="19">
        <f t="shared" si="13"/>
        <v>59023.013746575256</v>
      </c>
      <c r="I74" s="19"/>
      <c r="J74" s="19">
        <f t="shared" si="14"/>
        <v>60793.704158972512</v>
      </c>
    </row>
    <row r="75" spans="1:10">
      <c r="C75" s="3">
        <v>19</v>
      </c>
      <c r="D75" s="19">
        <f t="shared" si="8"/>
        <v>57303.896841335198</v>
      </c>
      <c r="E75" s="19"/>
      <c r="F75" s="19">
        <f t="shared" si="12"/>
        <v>59023.013746575256</v>
      </c>
      <c r="G75" s="19"/>
      <c r="H75" s="19">
        <f t="shared" si="13"/>
        <v>60793.704158972512</v>
      </c>
      <c r="I75" s="19"/>
      <c r="J75" s="19">
        <f t="shared" si="14"/>
        <v>62617.51528374169</v>
      </c>
    </row>
    <row r="76" spans="1:10">
      <c r="C76" s="3">
        <v>20</v>
      </c>
      <c r="D76" s="19">
        <f t="shared" si="8"/>
        <v>59023.013746575256</v>
      </c>
      <c r="E76" s="19"/>
      <c r="F76" s="19">
        <f t="shared" si="12"/>
        <v>60793.704158972512</v>
      </c>
      <c r="G76" s="19"/>
      <c r="H76" s="19">
        <f t="shared" si="13"/>
        <v>62617.51528374169</v>
      </c>
      <c r="I76" s="19"/>
      <c r="J76" s="19">
        <f t="shared" si="14"/>
        <v>64496.040742253943</v>
      </c>
    </row>
    <row r="77" spans="1:10">
      <c r="C77" s="3">
        <v>21</v>
      </c>
      <c r="D77" s="19">
        <f>D76*1.03</f>
        <v>60793.704158972512</v>
      </c>
      <c r="E77" s="19"/>
      <c r="F77" s="19">
        <f>D77*1.03</f>
        <v>62617.51528374169</v>
      </c>
      <c r="G77" s="19"/>
      <c r="H77" s="19">
        <f>F77*1.03</f>
        <v>64496.040742253943</v>
      </c>
      <c r="I77" s="19"/>
      <c r="J77" s="19">
        <f>H77*1.03</f>
        <v>66430.921964521563</v>
      </c>
    </row>
    <row r="78" spans="1:10">
      <c r="D78" s="19"/>
      <c r="E78" s="19"/>
      <c r="F78" s="19"/>
      <c r="G78" s="19"/>
      <c r="H78" s="19"/>
      <c r="I78" s="19"/>
      <c r="J78" s="19"/>
    </row>
    <row r="79" spans="1:10">
      <c r="A79" s="3" t="s">
        <v>127</v>
      </c>
      <c r="D79" s="19"/>
      <c r="E79" s="19"/>
      <c r="F79" s="19"/>
      <c r="G79" s="19"/>
      <c r="H79" s="19"/>
      <c r="I79" s="19"/>
      <c r="J79" s="19"/>
    </row>
    <row r="80" spans="1:10">
      <c r="C80" s="3" t="s">
        <v>109</v>
      </c>
      <c r="D80" s="19"/>
      <c r="E80" s="19"/>
      <c r="F80" s="19"/>
      <c r="G80" s="19"/>
      <c r="H80" s="19"/>
      <c r="I80" s="19"/>
      <c r="J80" s="19"/>
    </row>
    <row r="81" spans="2:10">
      <c r="B81" s="3" t="str">
        <f>B56</f>
        <v>Level</v>
      </c>
      <c r="D81" s="19" t="s">
        <v>128</v>
      </c>
      <c r="E81" s="19"/>
      <c r="F81" s="19" t="s">
        <v>129</v>
      </c>
      <c r="G81" s="19"/>
      <c r="H81" s="19" t="s">
        <v>130</v>
      </c>
      <c r="I81" s="19"/>
      <c r="J81" s="19"/>
    </row>
    <row r="82" spans="2:10">
      <c r="C82" s="3">
        <v>1</v>
      </c>
      <c r="D82" s="19">
        <f>15630*0.99</f>
        <v>15473.7</v>
      </c>
      <c r="E82" s="19"/>
      <c r="F82" s="19">
        <f>21000*0.99</f>
        <v>20790</v>
      </c>
      <c r="G82" s="19"/>
      <c r="H82" s="19">
        <f>F82+2000</f>
        <v>22790</v>
      </c>
      <c r="I82" s="19"/>
      <c r="J82" s="19"/>
    </row>
    <row r="83" spans="2:10">
      <c r="C83" s="3">
        <v>2</v>
      </c>
      <c r="D83" s="19">
        <f t="shared" ref="D83:D100" si="15">D82*1.03</f>
        <v>15937.911000000002</v>
      </c>
      <c r="E83" s="19"/>
      <c r="F83" s="19">
        <f t="shared" ref="F83:F100" si="16">F82*1.03</f>
        <v>21413.7</v>
      </c>
      <c r="G83" s="19"/>
      <c r="H83" s="19">
        <f t="shared" ref="H83:H100" si="17">H82*1.03</f>
        <v>23473.7</v>
      </c>
      <c r="I83" s="19"/>
      <c r="J83" s="19"/>
    </row>
    <row r="84" spans="2:10">
      <c r="C84" s="3">
        <v>3</v>
      </c>
      <c r="D84" s="19">
        <f t="shared" si="15"/>
        <v>16416.048330000001</v>
      </c>
      <c r="E84" s="19"/>
      <c r="F84" s="19">
        <f t="shared" si="16"/>
        <v>22056.111000000001</v>
      </c>
      <c r="G84" s="19"/>
      <c r="H84" s="19">
        <f t="shared" si="17"/>
        <v>24177.911</v>
      </c>
      <c r="I84" s="19"/>
      <c r="J84" s="19"/>
    </row>
    <row r="85" spans="2:10">
      <c r="C85" s="3">
        <v>4</v>
      </c>
      <c r="D85" s="19">
        <f t="shared" si="15"/>
        <v>16908.529779900004</v>
      </c>
      <c r="E85" s="19"/>
      <c r="F85" s="19">
        <f t="shared" si="16"/>
        <v>22717.794330000001</v>
      </c>
      <c r="G85" s="19"/>
      <c r="H85" s="19">
        <f t="shared" si="17"/>
        <v>24903.248330000002</v>
      </c>
      <c r="I85" s="19"/>
      <c r="J85" s="19"/>
    </row>
    <row r="86" spans="2:10">
      <c r="C86" s="3">
        <v>5</v>
      </c>
      <c r="D86" s="19">
        <f t="shared" si="15"/>
        <v>17415.785673297003</v>
      </c>
      <c r="E86" s="19"/>
      <c r="F86" s="19">
        <f t="shared" si="16"/>
        <v>23399.3281599</v>
      </c>
      <c r="G86" s="19"/>
      <c r="H86" s="19">
        <f t="shared" si="17"/>
        <v>25650.345779900003</v>
      </c>
      <c r="I86" s="19"/>
      <c r="J86" s="19"/>
    </row>
    <row r="87" spans="2:10" s="2" customFormat="1">
      <c r="C87" s="2">
        <v>6</v>
      </c>
      <c r="D87" s="20">
        <f t="shared" si="15"/>
        <v>17938.259243495915</v>
      </c>
      <c r="E87" s="20"/>
      <c r="F87" s="20">
        <f t="shared" si="16"/>
        <v>24101.308004697003</v>
      </c>
      <c r="G87" s="20"/>
      <c r="H87" s="20">
        <f t="shared" si="17"/>
        <v>26419.856153297002</v>
      </c>
      <c r="I87" s="20"/>
      <c r="J87" s="20"/>
    </row>
    <row r="88" spans="2:10">
      <c r="C88" s="3">
        <v>7</v>
      </c>
      <c r="D88" s="19">
        <f t="shared" si="15"/>
        <v>18476.407020800794</v>
      </c>
      <c r="E88" s="19"/>
      <c r="F88" s="19">
        <f t="shared" si="16"/>
        <v>24824.347244837914</v>
      </c>
      <c r="G88" s="19"/>
      <c r="H88" s="19">
        <f t="shared" si="17"/>
        <v>27212.451837895911</v>
      </c>
      <c r="I88" s="19"/>
      <c r="J88" s="19"/>
    </row>
    <row r="89" spans="2:10">
      <c r="C89" s="3">
        <v>8</v>
      </c>
      <c r="D89" s="19">
        <f t="shared" si="15"/>
        <v>19030.69923142482</v>
      </c>
      <c r="E89" s="19"/>
      <c r="F89" s="19">
        <f t="shared" si="16"/>
        <v>25569.077662183052</v>
      </c>
      <c r="G89" s="19"/>
      <c r="H89" s="19">
        <f t="shared" si="17"/>
        <v>28028.825393032788</v>
      </c>
      <c r="I89" s="19"/>
      <c r="J89" s="19"/>
    </row>
    <row r="90" spans="2:10">
      <c r="C90" s="3">
        <v>9</v>
      </c>
      <c r="D90" s="19">
        <f t="shared" si="15"/>
        <v>19601.620208367563</v>
      </c>
      <c r="E90" s="19"/>
      <c r="F90" s="19">
        <f t="shared" si="16"/>
        <v>26336.149992048544</v>
      </c>
      <c r="G90" s="19"/>
      <c r="H90" s="19">
        <f t="shared" si="17"/>
        <v>28869.690154823773</v>
      </c>
      <c r="I90" s="19"/>
      <c r="J90" s="19"/>
    </row>
    <row r="91" spans="2:10">
      <c r="C91" s="3">
        <v>10</v>
      </c>
      <c r="D91" s="19">
        <f t="shared" si="15"/>
        <v>20189.668814618592</v>
      </c>
      <c r="E91" s="19"/>
      <c r="F91" s="19">
        <f t="shared" si="16"/>
        <v>27126.234491810003</v>
      </c>
      <c r="G91" s="19"/>
      <c r="H91" s="19">
        <f t="shared" si="17"/>
        <v>29735.780859468487</v>
      </c>
      <c r="I91" s="19"/>
      <c r="J91" s="19"/>
    </row>
    <row r="92" spans="2:10">
      <c r="C92" s="3">
        <v>11</v>
      </c>
      <c r="D92" s="19">
        <f t="shared" si="15"/>
        <v>20795.358879057148</v>
      </c>
      <c r="E92" s="19"/>
      <c r="F92" s="19">
        <f t="shared" si="16"/>
        <v>27940.021526564302</v>
      </c>
      <c r="G92" s="19"/>
      <c r="H92" s="19">
        <f t="shared" si="17"/>
        <v>30627.854285252542</v>
      </c>
      <c r="I92" s="19"/>
      <c r="J92" s="19"/>
    </row>
    <row r="93" spans="2:10">
      <c r="C93" s="3">
        <v>12</v>
      </c>
      <c r="D93" s="19">
        <f t="shared" si="15"/>
        <v>21419.219645428864</v>
      </c>
      <c r="E93" s="19"/>
      <c r="F93" s="19">
        <f t="shared" si="16"/>
        <v>28778.222172361231</v>
      </c>
      <c r="G93" s="19"/>
      <c r="H93" s="19">
        <f t="shared" si="17"/>
        <v>31546.689913810118</v>
      </c>
      <c r="I93" s="19"/>
      <c r="J93" s="19"/>
    </row>
    <row r="94" spans="2:10">
      <c r="C94" s="3">
        <v>13</v>
      </c>
      <c r="D94" s="19">
        <f t="shared" si="15"/>
        <v>22061.796234791731</v>
      </c>
      <c r="E94" s="19"/>
      <c r="F94" s="19">
        <f t="shared" si="16"/>
        <v>29641.568837532068</v>
      </c>
      <c r="G94" s="19"/>
      <c r="H94" s="19">
        <f t="shared" si="17"/>
        <v>32493.090611224423</v>
      </c>
      <c r="I94" s="19"/>
      <c r="J94" s="19"/>
    </row>
    <row r="95" spans="2:10">
      <c r="C95" s="3">
        <v>14</v>
      </c>
      <c r="D95" s="19">
        <f t="shared" si="15"/>
        <v>22723.650121835482</v>
      </c>
      <c r="E95" s="19"/>
      <c r="F95" s="19">
        <f t="shared" si="16"/>
        <v>30530.815902658032</v>
      </c>
      <c r="G95" s="19"/>
      <c r="H95" s="19">
        <f t="shared" si="17"/>
        <v>33467.883329561155</v>
      </c>
      <c r="I95" s="19"/>
      <c r="J95" s="19"/>
    </row>
    <row r="96" spans="2:10">
      <c r="C96" s="3">
        <v>15</v>
      </c>
      <c r="D96" s="19">
        <f t="shared" si="15"/>
        <v>23405.359625490546</v>
      </c>
      <c r="E96" s="19"/>
      <c r="F96" s="19">
        <f t="shared" si="16"/>
        <v>31446.740379737774</v>
      </c>
      <c r="G96" s="19"/>
      <c r="H96" s="19">
        <f t="shared" si="17"/>
        <v>34471.919829447994</v>
      </c>
      <c r="I96" s="19"/>
      <c r="J96" s="19"/>
    </row>
    <row r="97" spans="1:10">
      <c r="C97" s="3">
        <v>16</v>
      </c>
      <c r="D97" s="19">
        <f t="shared" si="15"/>
        <v>24107.520414255265</v>
      </c>
      <c r="E97" s="19"/>
      <c r="F97" s="19">
        <f t="shared" si="16"/>
        <v>32390.142591129908</v>
      </c>
      <c r="G97" s="19"/>
      <c r="H97" s="19">
        <f t="shared" si="17"/>
        <v>35506.077424331437</v>
      </c>
      <c r="I97" s="19"/>
      <c r="J97" s="19"/>
    </row>
    <row r="98" spans="1:10">
      <c r="C98" s="3">
        <v>17</v>
      </c>
      <c r="D98" s="19">
        <f t="shared" si="15"/>
        <v>24830.746026682922</v>
      </c>
      <c r="E98" s="19"/>
      <c r="F98" s="19">
        <f t="shared" si="16"/>
        <v>33361.84686886381</v>
      </c>
      <c r="G98" s="19"/>
      <c r="H98" s="19">
        <f t="shared" si="17"/>
        <v>36571.259747061384</v>
      </c>
      <c r="I98" s="19"/>
      <c r="J98" s="19"/>
    </row>
    <row r="99" spans="1:10">
      <c r="C99" s="3">
        <v>18</v>
      </c>
      <c r="D99" s="19">
        <f t="shared" si="15"/>
        <v>25575.668407483412</v>
      </c>
      <c r="E99" s="19"/>
      <c r="F99" s="19">
        <f t="shared" si="16"/>
        <v>34362.702274929725</v>
      </c>
      <c r="G99" s="19"/>
      <c r="H99" s="19">
        <f t="shared" si="17"/>
        <v>37668.397539473226</v>
      </c>
      <c r="I99" s="19"/>
      <c r="J99" s="19"/>
    </row>
    <row r="100" spans="1:10">
      <c r="C100" s="3">
        <v>19</v>
      </c>
      <c r="D100" s="19">
        <f t="shared" si="15"/>
        <v>26342.938459707915</v>
      </c>
      <c r="E100" s="19"/>
      <c r="F100" s="19">
        <f t="shared" si="16"/>
        <v>35393.583343177619</v>
      </c>
      <c r="G100" s="19"/>
      <c r="H100" s="19">
        <f t="shared" si="17"/>
        <v>38798.449465657424</v>
      </c>
      <c r="I100" s="19"/>
      <c r="J100" s="19"/>
    </row>
    <row r="101" spans="1:10">
      <c r="D101" s="19"/>
      <c r="E101" s="19"/>
      <c r="F101" s="19"/>
      <c r="G101" s="19"/>
      <c r="H101" s="19"/>
      <c r="I101" s="19"/>
      <c r="J101" s="19"/>
    </row>
    <row r="102" spans="1:10">
      <c r="D102" s="19"/>
      <c r="E102" s="19"/>
      <c r="F102" s="19"/>
      <c r="G102" s="19"/>
      <c r="H102" s="19"/>
      <c r="I102" s="19"/>
      <c r="J102" s="19"/>
    </row>
    <row r="103" spans="1:10">
      <c r="A103" s="3" t="s">
        <v>131</v>
      </c>
      <c r="D103" s="19"/>
      <c r="E103" s="19"/>
      <c r="F103" s="19"/>
      <c r="G103" s="19"/>
      <c r="H103" s="19"/>
      <c r="I103" s="19"/>
      <c r="J103" s="19"/>
    </row>
    <row r="104" spans="1:10">
      <c r="C104" s="3" t="s">
        <v>109</v>
      </c>
      <c r="D104" s="19"/>
      <c r="E104" s="19"/>
      <c r="F104" s="19"/>
      <c r="G104" s="19"/>
      <c r="H104" s="19"/>
      <c r="I104" s="19"/>
      <c r="J104" s="19"/>
    </row>
    <row r="105" spans="1:10">
      <c r="B105" s="3" t="str">
        <f>B81</f>
        <v>Level</v>
      </c>
      <c r="D105" s="19" t="s">
        <v>118</v>
      </c>
      <c r="E105" s="19"/>
      <c r="F105" s="19" t="s">
        <v>132</v>
      </c>
      <c r="G105" s="19"/>
      <c r="H105" s="19" t="s">
        <v>133</v>
      </c>
      <c r="I105" s="19"/>
      <c r="J105" s="19"/>
    </row>
    <row r="106" spans="1:10">
      <c r="C106" s="3">
        <v>1</v>
      </c>
      <c r="D106" s="19">
        <f>30500*0.99</f>
        <v>30195</v>
      </c>
      <c r="E106" s="19"/>
      <c r="F106" s="19">
        <v>32000</v>
      </c>
      <c r="G106" s="19"/>
      <c r="H106" s="19">
        <f>F106+500</f>
        <v>32500</v>
      </c>
      <c r="I106" s="19"/>
      <c r="J106" s="19"/>
    </row>
    <row r="107" spans="1:10">
      <c r="C107" s="3">
        <v>2</v>
      </c>
      <c r="D107" s="19">
        <f t="shared" ref="D107:D115" si="18">D106*1.03</f>
        <v>31100.850000000002</v>
      </c>
      <c r="E107" s="19"/>
      <c r="F107" s="19">
        <f t="shared" ref="F107:F115" si="19">D107*1.03</f>
        <v>32033.875500000002</v>
      </c>
      <c r="G107" s="19"/>
      <c r="H107" s="19">
        <f t="shared" ref="H107:H115" si="20">F107*1.03</f>
        <v>32994.891765</v>
      </c>
      <c r="I107" s="19"/>
      <c r="J107" s="19"/>
    </row>
    <row r="108" spans="1:10">
      <c r="C108" s="3">
        <v>3</v>
      </c>
      <c r="D108" s="19">
        <f t="shared" si="18"/>
        <v>32033.875500000002</v>
      </c>
      <c r="E108" s="19"/>
      <c r="F108" s="19">
        <f t="shared" si="19"/>
        <v>32994.891765</v>
      </c>
      <c r="G108" s="19"/>
      <c r="H108" s="19">
        <f t="shared" si="20"/>
        <v>33984.738517949998</v>
      </c>
      <c r="I108" s="19"/>
      <c r="J108" s="19"/>
    </row>
    <row r="109" spans="1:10">
      <c r="C109" s="3">
        <v>4</v>
      </c>
      <c r="D109" s="19">
        <f t="shared" si="18"/>
        <v>32994.891765</v>
      </c>
      <c r="E109" s="19"/>
      <c r="F109" s="19">
        <f t="shared" si="19"/>
        <v>33984.738517949998</v>
      </c>
      <c r="G109" s="19"/>
      <c r="H109" s="19">
        <f t="shared" si="20"/>
        <v>35004.280673488502</v>
      </c>
      <c r="I109" s="19"/>
      <c r="J109" s="19"/>
    </row>
    <row r="110" spans="1:10">
      <c r="C110" s="3">
        <v>5</v>
      </c>
      <c r="D110" s="19">
        <f t="shared" si="18"/>
        <v>33984.738517949998</v>
      </c>
      <c r="E110" s="19"/>
      <c r="F110" s="19">
        <f t="shared" si="19"/>
        <v>35004.280673488502</v>
      </c>
      <c r="G110" s="19"/>
      <c r="H110" s="19">
        <f t="shared" si="20"/>
        <v>36054.409093693161</v>
      </c>
      <c r="I110" s="19"/>
      <c r="J110" s="19"/>
    </row>
    <row r="111" spans="1:10">
      <c r="C111" s="3">
        <v>6</v>
      </c>
      <c r="D111" s="19">
        <f t="shared" si="18"/>
        <v>35004.280673488502</v>
      </c>
      <c r="E111" s="19"/>
      <c r="F111" s="19">
        <f t="shared" si="19"/>
        <v>36054.409093693161</v>
      </c>
      <c r="G111" s="19"/>
      <c r="H111" s="19">
        <f t="shared" si="20"/>
        <v>37136.04136650396</v>
      </c>
      <c r="I111" s="19"/>
      <c r="J111" s="19"/>
    </row>
    <row r="112" spans="1:10">
      <c r="C112" s="3">
        <v>7</v>
      </c>
      <c r="D112" s="19">
        <f t="shared" si="18"/>
        <v>36054.409093693161</v>
      </c>
      <c r="E112" s="19"/>
      <c r="F112" s="19">
        <f t="shared" si="19"/>
        <v>37136.04136650396</v>
      </c>
      <c r="G112" s="19"/>
      <c r="H112" s="19">
        <f t="shared" si="20"/>
        <v>38250.122607499077</v>
      </c>
      <c r="I112" s="19"/>
      <c r="J112" s="19"/>
    </row>
    <row r="113" spans="3:10">
      <c r="C113" s="3">
        <v>8</v>
      </c>
      <c r="D113" s="19">
        <f t="shared" si="18"/>
        <v>37136.04136650396</v>
      </c>
      <c r="E113" s="19"/>
      <c r="F113" s="19">
        <f t="shared" si="19"/>
        <v>38250.122607499077</v>
      </c>
      <c r="G113" s="19"/>
      <c r="H113" s="19">
        <f t="shared" si="20"/>
        <v>39397.626285724051</v>
      </c>
      <c r="I113" s="19"/>
      <c r="J113" s="19"/>
    </row>
    <row r="114" spans="3:10">
      <c r="C114" s="3">
        <v>9</v>
      </c>
      <c r="D114" s="19">
        <f t="shared" si="18"/>
        <v>38250.122607499077</v>
      </c>
      <c r="E114" s="19"/>
      <c r="F114" s="19">
        <f t="shared" si="19"/>
        <v>39397.626285724051</v>
      </c>
      <c r="G114" s="19"/>
      <c r="H114" s="19">
        <f t="shared" si="20"/>
        <v>40579.555074295771</v>
      </c>
      <c r="I114" s="19"/>
      <c r="J114" s="19"/>
    </row>
    <row r="115" spans="3:10">
      <c r="C115" s="3">
        <v>10</v>
      </c>
      <c r="D115" s="19">
        <f t="shared" si="18"/>
        <v>39397.626285724051</v>
      </c>
      <c r="E115" s="19"/>
      <c r="F115" s="19">
        <f t="shared" si="19"/>
        <v>40579.555074295771</v>
      </c>
      <c r="G115" s="19"/>
      <c r="H115" s="19">
        <f t="shared" si="20"/>
        <v>41796.941726524645</v>
      </c>
      <c r="I115" s="19"/>
      <c r="J115" s="19"/>
    </row>
    <row r="132" s="2" customFormat="1"/>
    <row r="214" s="2" customFormat="1"/>
    <row r="217" s="2" customFormat="1"/>
  </sheetData>
  <phoneticPr fontId="22" type="noConversion"/>
  <pageMargins left="0.75" right="0.75" top="1.21" bottom="0.55000000000000004" header="0.17" footer="0.17"/>
  <pageSetup orientation="portrait" r:id="rId1"/>
  <headerFooter alignWithMargins="0">
    <oddHeader>&amp;C&amp;"Arial,Bold"&amp;18International School of Louisiana
Staff Salary Schedule '12 - 2013
&amp;A&amp;RPrinted &amp;D&amp;T</oddHeader>
    <oddFooter>&amp;L&amp;6&amp;Z&amp;F&amp;RPage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topLeftCell="A16" workbookViewId="0">
      <selection activeCell="F83" sqref="F83"/>
    </sheetView>
  </sheetViews>
  <sheetFormatPr defaultRowHeight="15"/>
  <cols>
    <col min="1" max="1" width="19" style="143" customWidth="1"/>
    <col min="2" max="2" width="13.28515625" style="143" bestFit="1" customWidth="1"/>
    <col min="3" max="3" width="10.85546875" style="143" bestFit="1" customWidth="1"/>
    <col min="4" max="4" width="26.7109375" style="152" customWidth="1"/>
    <col min="5" max="6" width="14.28515625" style="152" customWidth="1"/>
    <col min="7" max="7" width="12.42578125" style="152" customWidth="1"/>
    <col min="8" max="8" width="0.85546875" style="152" customWidth="1"/>
    <col min="9" max="9" width="12.42578125" style="159" customWidth="1"/>
    <col min="10" max="10" width="0.85546875" style="159" customWidth="1"/>
    <col min="11" max="11" width="12.5703125" style="159" customWidth="1"/>
    <col min="12" max="12" width="0.5703125" style="159" customWidth="1"/>
    <col min="13" max="13" width="11.28515625" style="143" customWidth="1"/>
    <col min="14" max="14" width="11.7109375" style="143" bestFit="1" customWidth="1"/>
    <col min="15" max="16384" width="9.140625" style="143"/>
  </cols>
  <sheetData>
    <row r="1" spans="1:14" ht="15.75">
      <c r="A1" s="139" t="s">
        <v>519</v>
      </c>
      <c r="B1" s="139"/>
      <c r="C1" s="139"/>
      <c r="D1" s="140"/>
      <c r="E1" s="140"/>
      <c r="F1" s="140"/>
      <c r="G1" s="141"/>
      <c r="H1" s="140"/>
      <c r="I1" s="142"/>
      <c r="J1" s="142"/>
      <c r="K1" s="142"/>
      <c r="L1" s="142"/>
      <c r="M1" s="139"/>
      <c r="N1" s="139"/>
    </row>
    <row r="2" spans="1:14" ht="15.75">
      <c r="A2" s="139" t="s">
        <v>520</v>
      </c>
      <c r="B2" s="139"/>
      <c r="C2" s="139"/>
      <c r="D2" s="140"/>
      <c r="E2" s="140"/>
      <c r="F2" s="140"/>
      <c r="G2" s="141"/>
      <c r="H2" s="140"/>
      <c r="I2" s="142"/>
      <c r="J2" s="142"/>
      <c r="K2" s="142"/>
      <c r="L2" s="142"/>
      <c r="M2" s="139"/>
      <c r="N2" s="139"/>
    </row>
    <row r="3" spans="1:14" ht="15.75">
      <c r="A3" s="144">
        <v>41046</v>
      </c>
      <c r="B3" s="139"/>
      <c r="C3" s="139"/>
      <c r="D3" s="140"/>
      <c r="E3" s="140"/>
      <c r="F3" s="140"/>
      <c r="G3" s="141"/>
      <c r="H3" s="140"/>
      <c r="I3" s="142"/>
      <c r="J3" s="142"/>
      <c r="K3" s="142"/>
      <c r="L3" s="142"/>
      <c r="M3" s="139"/>
      <c r="N3" s="139"/>
    </row>
    <row r="4" spans="1:14" s="145" customFormat="1" ht="30">
      <c r="A4" s="145" t="s">
        <v>521</v>
      </c>
      <c r="B4" s="145" t="s">
        <v>522</v>
      </c>
      <c r="C4" s="145" t="s">
        <v>523</v>
      </c>
      <c r="D4" s="146" t="s">
        <v>524</v>
      </c>
      <c r="E4" s="146" t="s">
        <v>776</v>
      </c>
      <c r="F4" s="146" t="s">
        <v>777</v>
      </c>
      <c r="G4" s="147" t="s">
        <v>525</v>
      </c>
      <c r="H4" s="148"/>
      <c r="I4" s="149" t="s">
        <v>526</v>
      </c>
      <c r="J4" s="150"/>
      <c r="K4" s="151" t="s">
        <v>527</v>
      </c>
      <c r="L4" s="150"/>
      <c r="M4" s="145" t="s">
        <v>528</v>
      </c>
      <c r="N4" s="145" t="s">
        <v>529</v>
      </c>
    </row>
    <row r="5" spans="1:14">
      <c r="A5" s="143" t="s">
        <v>530</v>
      </c>
      <c r="B5" s="143" t="s">
        <v>531</v>
      </c>
      <c r="C5" s="143" t="s">
        <v>532</v>
      </c>
      <c r="D5" s="152" t="s">
        <v>533</v>
      </c>
      <c r="E5" s="152" t="s">
        <v>778</v>
      </c>
      <c r="F5" s="152" t="s">
        <v>181</v>
      </c>
      <c r="G5" s="153">
        <f ca="1">SUM('AC-SCH'!F134)</f>
        <v>44928.577000000005</v>
      </c>
      <c r="H5" s="154"/>
      <c r="I5" s="153">
        <f ca="1">SUM('AC-SCH'!F135)</f>
        <v>46178.577000000005</v>
      </c>
      <c r="J5" s="155"/>
      <c r="K5" s="156">
        <f t="shared" ref="K5:K20" si="0">1-SUM(G5/I5)</f>
        <v>2.7068828907395703E-2</v>
      </c>
      <c r="L5" s="155"/>
      <c r="M5" s="143" t="s">
        <v>534</v>
      </c>
    </row>
    <row r="6" spans="1:14">
      <c r="A6" s="143" t="s">
        <v>535</v>
      </c>
      <c r="B6" s="143" t="s">
        <v>536</v>
      </c>
      <c r="C6" s="143" t="s">
        <v>537</v>
      </c>
      <c r="D6" s="152" t="s">
        <v>538</v>
      </c>
      <c r="E6" s="152" t="s">
        <v>779</v>
      </c>
      <c r="F6" s="152" t="s">
        <v>780</v>
      </c>
      <c r="G6" s="157">
        <f ca="1">SUBTOTAL(9,'AC-SCH'!D83)</f>
        <v>23172.150216599999</v>
      </c>
      <c r="H6" s="154"/>
      <c r="I6" s="153">
        <f ca="1">SUM('AC-SCH'!D84)</f>
        <v>23867.314723097999</v>
      </c>
      <c r="J6" s="155"/>
      <c r="K6" s="156">
        <f t="shared" si="0"/>
        <v>2.9126213592232997E-2</v>
      </c>
      <c r="L6" s="155"/>
      <c r="M6" s="143" t="s">
        <v>534</v>
      </c>
    </row>
    <row r="7" spans="1:14">
      <c r="A7" s="143" t="s">
        <v>535</v>
      </c>
      <c r="B7" s="143" t="s">
        <v>539</v>
      </c>
      <c r="C7" s="143" t="s">
        <v>540</v>
      </c>
      <c r="D7" s="152" t="s">
        <v>538</v>
      </c>
      <c r="E7" s="152" t="s">
        <v>781</v>
      </c>
      <c r="F7" s="152" t="s">
        <v>780</v>
      </c>
      <c r="G7" s="157">
        <f ca="1">SUBTOTAL(9,'AC-SCH'!D91)</f>
        <v>29211.465435767863</v>
      </c>
      <c r="H7" s="154"/>
      <c r="I7" s="157">
        <f ca="1">SUBTOTAL(9,'AC-SCH'!D92)</f>
        <v>30087.809398840898</v>
      </c>
      <c r="J7" s="155"/>
      <c r="K7" s="156">
        <f t="shared" si="0"/>
        <v>2.9126213592232997E-2</v>
      </c>
      <c r="L7" s="155"/>
      <c r="M7" s="143" t="s">
        <v>534</v>
      </c>
    </row>
    <row r="8" spans="1:14">
      <c r="A8" s="143" t="s">
        <v>535</v>
      </c>
      <c r="B8" s="143" t="s">
        <v>542</v>
      </c>
      <c r="C8" s="143" t="s">
        <v>543</v>
      </c>
      <c r="D8" s="152" t="s">
        <v>538</v>
      </c>
      <c r="E8" s="152" t="s">
        <v>781</v>
      </c>
      <c r="F8" s="152" t="s">
        <v>780</v>
      </c>
      <c r="G8" s="157">
        <f ca="1">SUBTOTAL(9,'AC-SCH'!D89)</f>
        <v>27668.759181646197</v>
      </c>
      <c r="H8" s="154"/>
      <c r="I8" s="157">
        <f ca="1">SUBTOTAL(9,'AC-SCH'!D90)</f>
        <v>28429.65005914147</v>
      </c>
      <c r="J8" s="155"/>
      <c r="K8" s="156">
        <f t="shared" si="0"/>
        <v>2.6763990267639981E-2</v>
      </c>
      <c r="L8" s="155"/>
      <c r="M8" s="143" t="s">
        <v>534</v>
      </c>
    </row>
    <row r="9" spans="1:14">
      <c r="A9" s="143" t="s">
        <v>535</v>
      </c>
      <c r="B9" s="143" t="s">
        <v>544</v>
      </c>
      <c r="C9" s="143" t="s">
        <v>545</v>
      </c>
      <c r="D9" s="152" t="s">
        <v>546</v>
      </c>
      <c r="E9" s="152" t="s">
        <v>779</v>
      </c>
      <c r="F9" s="152" t="s">
        <v>780</v>
      </c>
      <c r="G9" s="157">
        <f ca="1">SUBTOTAL(9,'AC-SCH'!F42)+2.48</f>
        <v>42368.002687499997</v>
      </c>
      <c r="H9" s="154"/>
      <c r="I9" s="153">
        <f ca="1">SUBTOTAL(9,'AC-SCH'!F43)</f>
        <v>43399.660754687487</v>
      </c>
      <c r="J9" s="155"/>
      <c r="K9" s="156">
        <f t="shared" si="0"/>
        <v>2.3771109019004588E-2</v>
      </c>
      <c r="L9" s="155"/>
      <c r="M9" s="143" t="s">
        <v>534</v>
      </c>
    </row>
    <row r="10" spans="1:14">
      <c r="A10" s="143" t="s">
        <v>535</v>
      </c>
      <c r="B10" s="143" t="s">
        <v>547</v>
      </c>
      <c r="C10" s="143" t="s">
        <v>548</v>
      </c>
      <c r="D10" s="152" t="s">
        <v>546</v>
      </c>
      <c r="E10" s="152" t="s">
        <v>781</v>
      </c>
      <c r="F10" s="152" t="s">
        <v>780</v>
      </c>
      <c r="G10" s="157">
        <f ca="1">SUBTOTAL(9,'AC-SCH'!F44)</f>
        <v>44459.652273554668</v>
      </c>
      <c r="H10" s="154"/>
      <c r="I10" s="157">
        <f ca="1">SUBTOTAL(9,'AC-SCH'!F45)</f>
        <v>45546.143580393531</v>
      </c>
      <c r="J10" s="155"/>
      <c r="K10" s="156">
        <f t="shared" si="0"/>
        <v>2.385473766667201E-2</v>
      </c>
      <c r="L10" s="155"/>
      <c r="M10" s="143" t="s">
        <v>534</v>
      </c>
    </row>
    <row r="11" spans="1:14">
      <c r="A11" s="143" t="s">
        <v>535</v>
      </c>
      <c r="B11" s="143" t="s">
        <v>549</v>
      </c>
      <c r="C11" s="143" t="s">
        <v>550</v>
      </c>
      <c r="D11" s="152" t="s">
        <v>546</v>
      </c>
      <c r="E11" s="152" t="s">
        <v>781</v>
      </c>
      <c r="F11" s="152" t="s">
        <v>780</v>
      </c>
      <c r="G11" s="157">
        <f ca="1">SUBTOTAL(9,'AC-SCH'!D53)</f>
        <v>54275.150411244293</v>
      </c>
      <c r="H11" s="154"/>
      <c r="I11" s="157">
        <f ca="1">SUBTOTAL(9,'AC-SCH'!F54)</f>
        <v>56632.029171525392</v>
      </c>
      <c r="J11" s="155"/>
      <c r="K11" s="156">
        <f t="shared" si="0"/>
        <v>4.1617416765036941E-2</v>
      </c>
      <c r="L11" s="155"/>
      <c r="M11" s="143" t="s">
        <v>534</v>
      </c>
    </row>
    <row r="12" spans="1:14">
      <c r="A12" s="143" t="s">
        <v>551</v>
      </c>
      <c r="B12" s="143" t="s">
        <v>552</v>
      </c>
      <c r="C12" s="143" t="s">
        <v>553</v>
      </c>
      <c r="D12" s="152" t="s">
        <v>538</v>
      </c>
      <c r="E12" s="152" t="s">
        <v>779</v>
      </c>
      <c r="F12" s="152" t="s">
        <v>782</v>
      </c>
      <c r="G12" s="157">
        <f ca="1">SUBTOTAL(9,'AC-SCH'!D82)</f>
        <v>22497.233219999998</v>
      </c>
      <c r="H12" s="154"/>
      <c r="I12" s="157">
        <f ca="1">SUBTOTAL(9,'AC-SCH'!D83)</f>
        <v>23172.150216599999</v>
      </c>
      <c r="J12" s="155"/>
      <c r="K12" s="156">
        <f t="shared" si="0"/>
        <v>2.9126213592232997E-2</v>
      </c>
      <c r="L12" s="155"/>
      <c r="M12" s="143" t="s">
        <v>534</v>
      </c>
    </row>
    <row r="13" spans="1:14">
      <c r="A13" s="143" t="s">
        <v>551</v>
      </c>
      <c r="B13" s="143" t="s">
        <v>554</v>
      </c>
      <c r="C13" s="143" t="s">
        <v>555</v>
      </c>
      <c r="D13" s="152" t="s">
        <v>538</v>
      </c>
      <c r="E13" s="152" t="s">
        <v>779</v>
      </c>
      <c r="F13" s="152" t="s">
        <v>783</v>
      </c>
      <c r="G13" s="157">
        <f ca="1">SUBTOTAL(9,'AC-SCH'!D82)</f>
        <v>22497.233219999998</v>
      </c>
      <c r="H13" s="154"/>
      <c r="I13" s="157">
        <f ca="1">SUBTOTAL(9,'AC-SCH'!D83)</f>
        <v>23172.150216599999</v>
      </c>
      <c r="J13" s="155"/>
      <c r="K13" s="156">
        <f t="shared" si="0"/>
        <v>2.9126213592232997E-2</v>
      </c>
      <c r="L13" s="155"/>
      <c r="M13" s="143" t="s">
        <v>534</v>
      </c>
    </row>
    <row r="14" spans="1:14">
      <c r="A14" s="143" t="s">
        <v>551</v>
      </c>
      <c r="B14" s="143" t="s">
        <v>556</v>
      </c>
      <c r="C14" s="143" t="s">
        <v>557</v>
      </c>
      <c r="D14" s="152" t="s">
        <v>538</v>
      </c>
      <c r="E14" s="152" t="s">
        <v>779</v>
      </c>
      <c r="F14" s="152" t="s">
        <v>784</v>
      </c>
      <c r="G14" s="157">
        <f ca="1">SUBTOTAL(9,'AC-SCH'!D83)</f>
        <v>23172.150216599999</v>
      </c>
      <c r="H14" s="154"/>
      <c r="I14" s="157">
        <f ca="1">SUBTOTAL(9,'AC-SCH'!D84)</f>
        <v>23867.314723097999</v>
      </c>
      <c r="J14" s="155"/>
      <c r="K14" s="156">
        <f t="shared" si="0"/>
        <v>2.9126213592232997E-2</v>
      </c>
      <c r="L14" s="155"/>
      <c r="M14" s="143" t="s">
        <v>534</v>
      </c>
    </row>
    <row r="15" spans="1:14">
      <c r="A15" s="143" t="s">
        <v>551</v>
      </c>
      <c r="B15" s="143" t="s">
        <v>558</v>
      </c>
      <c r="C15" s="143" t="s">
        <v>559</v>
      </c>
      <c r="D15" s="152" t="s">
        <v>538</v>
      </c>
      <c r="E15" s="152" t="s">
        <v>781</v>
      </c>
      <c r="F15" s="152" t="s">
        <v>782</v>
      </c>
      <c r="G15" s="157">
        <f ca="1">SUBTOTAL(9,'AC-SCH'!D87)</f>
        <v>26080.459215426708</v>
      </c>
      <c r="H15" s="154"/>
      <c r="I15" s="157">
        <f ca="1">SUBTOTAL(9,'AC-SCH'!D88)</f>
        <v>26862.872991889511</v>
      </c>
      <c r="J15" s="155"/>
      <c r="K15" s="156">
        <f t="shared" si="0"/>
        <v>2.9126213592233108E-2</v>
      </c>
      <c r="L15" s="155"/>
      <c r="M15" s="143" t="s">
        <v>534</v>
      </c>
    </row>
    <row r="16" spans="1:14">
      <c r="A16" s="143" t="s">
        <v>551</v>
      </c>
      <c r="B16" s="143" t="s">
        <v>560</v>
      </c>
      <c r="C16" s="143" t="s">
        <v>561</v>
      </c>
      <c r="D16" s="152" t="s">
        <v>538</v>
      </c>
      <c r="E16" s="152" t="s">
        <v>781</v>
      </c>
      <c r="F16" s="152" t="s">
        <v>782</v>
      </c>
      <c r="G16" s="157">
        <f ca="1">SUBTOTAL(9,'AC-SCH'!D85)</f>
        <v>24583.33416479094</v>
      </c>
      <c r="H16" s="154"/>
      <c r="I16" s="157">
        <f ca="1">SUBTOTAL(9,'AC-SCH'!D86)</f>
        <v>25320.834189734669</v>
      </c>
      <c r="J16" s="155"/>
      <c r="K16" s="156">
        <f t="shared" si="0"/>
        <v>2.9126213592232997E-2</v>
      </c>
      <c r="L16" s="155"/>
      <c r="M16" s="143" t="s">
        <v>534</v>
      </c>
    </row>
    <row r="17" spans="1:14">
      <c r="A17" s="143" t="s">
        <v>551</v>
      </c>
      <c r="B17" s="143" t="s">
        <v>562</v>
      </c>
      <c r="C17" s="143" t="s">
        <v>563</v>
      </c>
      <c r="D17" s="152" t="s">
        <v>538</v>
      </c>
      <c r="E17" s="152" t="s">
        <v>781</v>
      </c>
      <c r="F17" s="152" t="s">
        <v>783</v>
      </c>
      <c r="G17" s="157">
        <f ca="1">SUBTOTAL(9,'AC-SCH'!D89)</f>
        <v>27668.759181646197</v>
      </c>
      <c r="H17" s="154"/>
      <c r="I17" s="157">
        <f ca="1">SUBTOTAL(9,'AC-SCH'!D90)</f>
        <v>28429.65005914147</v>
      </c>
      <c r="J17" s="155"/>
      <c r="K17" s="156">
        <f t="shared" si="0"/>
        <v>2.6763990267639981E-2</v>
      </c>
      <c r="L17" s="155"/>
      <c r="M17" s="143" t="s">
        <v>534</v>
      </c>
    </row>
    <row r="18" spans="1:14">
      <c r="A18" s="143" t="s">
        <v>551</v>
      </c>
      <c r="B18" s="143" t="s">
        <v>564</v>
      </c>
      <c r="C18" s="143" t="s">
        <v>565</v>
      </c>
      <c r="D18" s="152" t="s">
        <v>538</v>
      </c>
      <c r="E18" s="152" t="s">
        <v>781</v>
      </c>
      <c r="F18" s="152" t="s">
        <v>783</v>
      </c>
      <c r="G18" s="157">
        <f ca="1">SUBTOTAL(9,'AC-SCH'!D81)</f>
        <v>21841.973999999998</v>
      </c>
      <c r="H18" s="154"/>
      <c r="I18" s="157">
        <f ca="1">SUBTOTAL(9,'AC-SCH'!D82)</f>
        <v>22497.233219999998</v>
      </c>
      <c r="J18" s="155"/>
      <c r="K18" s="156">
        <f t="shared" si="0"/>
        <v>2.9126213592232997E-2</v>
      </c>
      <c r="L18" s="155"/>
      <c r="M18" s="143" t="s">
        <v>534</v>
      </c>
    </row>
    <row r="19" spans="1:14">
      <c r="A19" s="143" t="s">
        <v>551</v>
      </c>
      <c r="B19" s="143" t="s">
        <v>566</v>
      </c>
      <c r="C19" s="143" t="s">
        <v>561</v>
      </c>
      <c r="D19" s="152" t="s">
        <v>538</v>
      </c>
      <c r="E19" s="152" t="s">
        <v>781</v>
      </c>
      <c r="F19" s="152" t="s">
        <v>784</v>
      </c>
      <c r="G19" s="157">
        <f ca="1">SUBTOTAL(9,'AC-SCH'!D84)</f>
        <v>23867.314723097999</v>
      </c>
      <c r="H19" s="154"/>
      <c r="I19" s="157">
        <f ca="1">SUBTOTAL(9,'AC-SCH'!D85)</f>
        <v>24583.33416479094</v>
      </c>
      <c r="J19" s="155"/>
      <c r="K19" s="156">
        <f t="shared" si="0"/>
        <v>2.9126213592232997E-2</v>
      </c>
      <c r="L19" s="155"/>
      <c r="M19" s="143" t="s">
        <v>534</v>
      </c>
    </row>
    <row r="20" spans="1:14">
      <c r="A20" s="143" t="s">
        <v>551</v>
      </c>
      <c r="B20" s="143" t="s">
        <v>567</v>
      </c>
      <c r="C20" s="143" t="s">
        <v>568</v>
      </c>
      <c r="D20" s="152" t="s">
        <v>538</v>
      </c>
      <c r="E20" s="152" t="s">
        <v>781</v>
      </c>
      <c r="F20" s="152" t="s">
        <v>785</v>
      </c>
      <c r="G20" s="157">
        <f ca="1">SUBTOTAL(9,'AC-SCH'!D88)</f>
        <v>26862.872991889511</v>
      </c>
      <c r="H20" s="154"/>
      <c r="I20" s="157">
        <f ca="1">SUBTOTAL(9,'AC-SCH'!D89)</f>
        <v>27668.759181646197</v>
      </c>
      <c r="J20" s="155"/>
      <c r="K20" s="156">
        <f t="shared" si="0"/>
        <v>2.9126213592232997E-2</v>
      </c>
      <c r="L20" s="155"/>
      <c r="M20" s="143" t="s">
        <v>534</v>
      </c>
    </row>
    <row r="21" spans="1:14">
      <c r="A21" s="143" t="s">
        <v>551</v>
      </c>
      <c r="B21" s="143" t="s">
        <v>569</v>
      </c>
      <c r="C21" s="143" t="s">
        <v>570</v>
      </c>
      <c r="D21" s="152" t="s">
        <v>538</v>
      </c>
      <c r="E21" s="152" t="s">
        <v>781</v>
      </c>
      <c r="F21" s="152" t="s">
        <v>786</v>
      </c>
      <c r="G21" s="158">
        <v>12.5</v>
      </c>
      <c r="H21" s="154"/>
      <c r="I21" s="153">
        <f ca="1">SUBTOTAL(9,'AC-SCH'!D81)</f>
        <v>21841.973999999998</v>
      </c>
      <c r="J21" s="155"/>
      <c r="L21" s="155"/>
      <c r="M21" s="143" t="s">
        <v>534</v>
      </c>
      <c r="N21" s="143" t="s">
        <v>571</v>
      </c>
    </row>
    <row r="22" spans="1:14">
      <c r="A22" s="143" t="s">
        <v>551</v>
      </c>
      <c r="B22" s="143" t="s">
        <v>572</v>
      </c>
      <c r="C22" s="143" t="s">
        <v>573</v>
      </c>
      <c r="D22" s="152" t="s">
        <v>574</v>
      </c>
      <c r="E22" s="152" t="s">
        <v>183</v>
      </c>
      <c r="F22" s="152" t="s">
        <v>183</v>
      </c>
      <c r="G22" s="157">
        <f ca="1">SUM('AC-SCH'!D106)</f>
        <v>39372.300000000003</v>
      </c>
      <c r="H22" s="154"/>
      <c r="I22" s="157">
        <f ca="1">SUM('AC-SCH'!D107)</f>
        <v>40553.469000000005</v>
      </c>
      <c r="J22" s="155"/>
      <c r="K22" s="156">
        <f t="shared" ref="K22:K59" si="1">1-SUM(G22/I22)</f>
        <v>2.9126213592232997E-2</v>
      </c>
      <c r="L22" s="155"/>
      <c r="M22" s="143" t="s">
        <v>534</v>
      </c>
    </row>
    <row r="23" spans="1:14">
      <c r="A23" s="143" t="s">
        <v>551</v>
      </c>
      <c r="B23" s="143" t="s">
        <v>575</v>
      </c>
      <c r="C23" s="143" t="s">
        <v>576</v>
      </c>
      <c r="D23" s="152" t="s">
        <v>577</v>
      </c>
      <c r="E23" s="152" t="s">
        <v>577</v>
      </c>
      <c r="F23" s="152" t="s">
        <v>577</v>
      </c>
      <c r="G23" s="157">
        <f ca="1">SUM('AC-SCH'!D82)</f>
        <v>22497.233219999998</v>
      </c>
      <c r="H23" s="154"/>
      <c r="I23" s="157">
        <f ca="1">SUM('AC-SCH'!D83)</f>
        <v>23172.150216599999</v>
      </c>
      <c r="J23" s="155"/>
      <c r="K23" s="156">
        <f t="shared" si="1"/>
        <v>2.9126213592232997E-2</v>
      </c>
      <c r="L23" s="155"/>
      <c r="M23" s="143" t="s">
        <v>534</v>
      </c>
    </row>
    <row r="24" spans="1:14">
      <c r="A24" s="143" t="s">
        <v>551</v>
      </c>
      <c r="B24" s="143" t="s">
        <v>578</v>
      </c>
      <c r="C24" s="143" t="s">
        <v>579</v>
      </c>
      <c r="D24" s="152" t="s">
        <v>546</v>
      </c>
      <c r="E24" s="152" t="s">
        <v>580</v>
      </c>
      <c r="F24" s="152" t="s">
        <v>580</v>
      </c>
      <c r="G24" s="157">
        <f ca="1">SUBTOTAL(9,'AC-SCH'!D$44)</f>
        <v>43459.652273554668</v>
      </c>
      <c r="H24" s="154"/>
      <c r="I24" s="157">
        <f ca="1">SUBTOTAL(9,'AC-SCH'!D45)</f>
        <v>44546.143580393531</v>
      </c>
      <c r="J24" s="155"/>
      <c r="K24" s="156">
        <f t="shared" si="1"/>
        <v>2.4390243902438935E-2</v>
      </c>
      <c r="L24" s="155"/>
      <c r="M24" s="143" t="s">
        <v>534</v>
      </c>
    </row>
    <row r="25" spans="1:14">
      <c r="A25" s="143" t="s">
        <v>551</v>
      </c>
      <c r="B25" s="143" t="s">
        <v>581</v>
      </c>
      <c r="C25" s="143" t="s">
        <v>505</v>
      </c>
      <c r="D25" s="152" t="s">
        <v>546</v>
      </c>
      <c r="E25" s="152" t="s">
        <v>580</v>
      </c>
      <c r="F25" s="152" t="s">
        <v>580</v>
      </c>
      <c r="G25" s="157">
        <f ca="1">SUBTOTAL(9,'AC-SCH'!D$41)</f>
        <v>40356.607499999998</v>
      </c>
      <c r="H25" s="154"/>
      <c r="I25" s="157">
        <f ca="1">SUBTOTAL(9,'AC-SCH'!D42)</f>
        <v>41365.522687499993</v>
      </c>
      <c r="J25" s="155"/>
      <c r="K25" s="156">
        <f t="shared" si="1"/>
        <v>2.4390243902438935E-2</v>
      </c>
      <c r="L25" s="155"/>
      <c r="M25" s="143" t="s">
        <v>534</v>
      </c>
    </row>
    <row r="26" spans="1:14">
      <c r="A26" s="143" t="s">
        <v>551</v>
      </c>
      <c r="B26" s="143" t="s">
        <v>582</v>
      </c>
      <c r="C26" s="143" t="s">
        <v>583</v>
      </c>
      <c r="D26" s="152" t="s">
        <v>546</v>
      </c>
      <c r="E26" s="152" t="s">
        <v>584</v>
      </c>
      <c r="F26" s="152" t="s">
        <v>584</v>
      </c>
      <c r="G26" s="157">
        <f ca="1">SUBTOTAL(9,'AC-SCH'!D$42)</f>
        <v>41365.522687499993</v>
      </c>
      <c r="H26" s="154"/>
      <c r="I26" s="157">
        <f ca="1">SUBTOTAL(9,'AC-SCH'!D43)</f>
        <v>42399.660754687487</v>
      </c>
      <c r="J26" s="155"/>
      <c r="K26" s="156">
        <f t="shared" si="1"/>
        <v>2.4390243902438935E-2</v>
      </c>
      <c r="L26" s="155"/>
      <c r="M26" s="143" t="s">
        <v>534</v>
      </c>
    </row>
    <row r="27" spans="1:14">
      <c r="A27" s="143" t="s">
        <v>551</v>
      </c>
      <c r="B27" s="143" t="s">
        <v>585</v>
      </c>
      <c r="C27" s="143" t="s">
        <v>586</v>
      </c>
      <c r="D27" s="152" t="s">
        <v>546</v>
      </c>
      <c r="E27" s="152" t="s">
        <v>787</v>
      </c>
      <c r="F27" s="152" t="s">
        <v>783</v>
      </c>
      <c r="G27" s="157">
        <f ca="1">SUBTOTAL(9,'AC-SCH'!D46)</f>
        <v>45659.797169903366</v>
      </c>
      <c r="H27" s="154"/>
      <c r="I27" s="157">
        <f ca="1">SUBTOTAL(9,'AC-SCH'!D47)</f>
        <v>46801.292099150945</v>
      </c>
      <c r="J27" s="155"/>
      <c r="K27" s="156">
        <f t="shared" si="1"/>
        <v>2.4390243902438935E-2</v>
      </c>
      <c r="L27" s="155"/>
      <c r="M27" s="143" t="s">
        <v>534</v>
      </c>
    </row>
    <row r="28" spans="1:14">
      <c r="A28" s="143" t="s">
        <v>551</v>
      </c>
      <c r="B28" s="143" t="s">
        <v>587</v>
      </c>
      <c r="C28" s="143" t="s">
        <v>588</v>
      </c>
      <c r="D28" s="152" t="s">
        <v>546</v>
      </c>
      <c r="E28" s="152" t="s">
        <v>787</v>
      </c>
      <c r="F28" s="152" t="s">
        <v>784</v>
      </c>
      <c r="G28" s="157">
        <f ca="1">SUBTOTAL(9,'AC-SCH'!D$44)</f>
        <v>43459.652273554668</v>
      </c>
      <c r="H28" s="154"/>
      <c r="I28" s="157">
        <f ca="1">SUBTOTAL(9,'AC-SCH'!D45)</f>
        <v>44546.143580393531</v>
      </c>
      <c r="J28" s="155"/>
      <c r="K28" s="156">
        <f t="shared" si="1"/>
        <v>2.4390243902438935E-2</v>
      </c>
      <c r="L28" s="155"/>
      <c r="M28" s="143" t="s">
        <v>534</v>
      </c>
    </row>
    <row r="29" spans="1:14">
      <c r="A29" s="143" t="s">
        <v>551</v>
      </c>
      <c r="B29" s="143" t="s">
        <v>589</v>
      </c>
      <c r="C29" s="143" t="s">
        <v>590</v>
      </c>
      <c r="D29" s="152" t="s">
        <v>546</v>
      </c>
      <c r="E29" s="152" t="s">
        <v>787</v>
      </c>
      <c r="F29" s="152" t="s">
        <v>785</v>
      </c>
      <c r="G29" s="157">
        <f ca="1">SUBTOTAL(9,'AC-SCH'!H46)</f>
        <v>47159.797169903366</v>
      </c>
      <c r="H29" s="154"/>
      <c r="I29" s="157">
        <f ca="1">SUBTOTAL(9,'AC-SCH'!H47)</f>
        <v>48301.292099150945</v>
      </c>
      <c r="J29" s="155"/>
      <c r="K29" s="156">
        <f t="shared" si="1"/>
        <v>2.3632803174382211E-2</v>
      </c>
      <c r="L29" s="155"/>
      <c r="M29" s="143" t="s">
        <v>534</v>
      </c>
    </row>
    <row r="30" spans="1:14">
      <c r="A30" s="143" t="s">
        <v>551</v>
      </c>
      <c r="B30" s="143" t="s">
        <v>591</v>
      </c>
      <c r="C30" s="143" t="s">
        <v>592</v>
      </c>
      <c r="D30" s="152" t="s">
        <v>546</v>
      </c>
      <c r="E30" s="152" t="s">
        <v>787</v>
      </c>
      <c r="F30" s="152" t="s">
        <v>786</v>
      </c>
      <c r="G30" s="157">
        <f ca="1">SUBTOTAL(9,'AC-SCH'!D$41)</f>
        <v>40356.607499999998</v>
      </c>
      <c r="H30" s="154"/>
      <c r="I30" s="157">
        <f ca="1">SUBTOTAL(9,'AC-SCH'!D42)</f>
        <v>41365.522687499993</v>
      </c>
      <c r="J30" s="155"/>
      <c r="K30" s="156">
        <f t="shared" si="1"/>
        <v>2.4390243902438935E-2</v>
      </c>
      <c r="L30" s="155"/>
      <c r="M30" s="143" t="s">
        <v>534</v>
      </c>
    </row>
    <row r="31" spans="1:14">
      <c r="A31" s="143" t="s">
        <v>551</v>
      </c>
      <c r="B31" s="143" t="s">
        <v>593</v>
      </c>
      <c r="C31" s="143" t="s">
        <v>594</v>
      </c>
      <c r="D31" s="152" t="s">
        <v>546</v>
      </c>
      <c r="E31" s="152" t="s">
        <v>779</v>
      </c>
      <c r="F31" s="152" t="s">
        <v>782</v>
      </c>
      <c r="G31" s="157">
        <f ca="1">SUBTOTAL(9,'AC-SCH'!D43)+285</f>
        <v>42684.660754687487</v>
      </c>
      <c r="H31" s="154"/>
      <c r="I31" s="157">
        <f ca="1">SUBTOTAL(9,'AC-SCH'!D44)</f>
        <v>43459.652273554668</v>
      </c>
      <c r="J31" s="155"/>
      <c r="K31" s="156">
        <f t="shared" si="1"/>
        <v>1.7832437176188987E-2</v>
      </c>
      <c r="L31" s="155"/>
      <c r="M31" s="143" t="s">
        <v>534</v>
      </c>
    </row>
    <row r="32" spans="1:14">
      <c r="A32" s="143" t="s">
        <v>551</v>
      </c>
      <c r="B32" s="143" t="s">
        <v>595</v>
      </c>
      <c r="C32" s="143" t="s">
        <v>596</v>
      </c>
      <c r="D32" s="152" t="s">
        <v>546</v>
      </c>
      <c r="E32" s="152" t="s">
        <v>779</v>
      </c>
      <c r="F32" s="152" t="s">
        <v>782</v>
      </c>
      <c r="G32" s="157">
        <f ca="1">SUBTOTAL(9,'AC-SCH'!F$42)+2.48</f>
        <v>42368.002687499997</v>
      </c>
      <c r="H32" s="154"/>
      <c r="I32" s="157">
        <f ca="1">SUBTOTAL(9,'AC-SCH'!F43)</f>
        <v>43399.660754687487</v>
      </c>
      <c r="J32" s="155"/>
      <c r="K32" s="156">
        <f t="shared" si="1"/>
        <v>2.3771109019004588E-2</v>
      </c>
      <c r="L32" s="155"/>
      <c r="M32" s="143" t="s">
        <v>534</v>
      </c>
    </row>
    <row r="33" spans="1:13">
      <c r="A33" s="143" t="s">
        <v>551</v>
      </c>
      <c r="B33" s="143" t="s">
        <v>597</v>
      </c>
      <c r="C33" s="143" t="s">
        <v>598</v>
      </c>
      <c r="D33" s="152" t="s">
        <v>546</v>
      </c>
      <c r="E33" s="152" t="s">
        <v>779</v>
      </c>
      <c r="F33" s="152" t="s">
        <v>783</v>
      </c>
      <c r="G33" s="157">
        <f ca="1">SUBTOTAL(9,'AC-SCH'!D81)</f>
        <v>21841.973999999998</v>
      </c>
      <c r="H33" s="154"/>
      <c r="I33" s="153">
        <f ca="1">SUBTOTAL(9,'AC-SCH'!D106)</f>
        <v>39372.300000000003</v>
      </c>
      <c r="J33" s="155"/>
      <c r="K33" s="156">
        <f t="shared" si="1"/>
        <v>0.44524515966809164</v>
      </c>
      <c r="L33" s="155"/>
      <c r="M33" s="143" t="s">
        <v>534</v>
      </c>
    </row>
    <row r="34" spans="1:13">
      <c r="A34" s="143" t="s">
        <v>551</v>
      </c>
      <c r="B34" s="143" t="s">
        <v>599</v>
      </c>
      <c r="C34" s="143" t="s">
        <v>600</v>
      </c>
      <c r="D34" s="152" t="s">
        <v>546</v>
      </c>
      <c r="E34" s="152" t="s">
        <v>779</v>
      </c>
      <c r="F34" s="152" t="s">
        <v>783</v>
      </c>
      <c r="G34" s="157">
        <f ca="1">SUBTOTAL(9,'AC-SCH'!D44)</f>
        <v>43459.652273554668</v>
      </c>
      <c r="H34" s="154"/>
      <c r="I34" s="157">
        <f ca="1">SUBTOTAL(9,'AC-SCH'!D45)</f>
        <v>44546.143580393531</v>
      </c>
      <c r="J34" s="155"/>
      <c r="K34" s="156">
        <f t="shared" si="1"/>
        <v>2.4390243902438935E-2</v>
      </c>
      <c r="L34" s="155"/>
      <c r="M34" s="143" t="s">
        <v>534</v>
      </c>
    </row>
    <row r="35" spans="1:13">
      <c r="A35" s="143" t="s">
        <v>551</v>
      </c>
      <c r="B35" s="143" t="s">
        <v>601</v>
      </c>
      <c r="C35" s="143" t="s">
        <v>602</v>
      </c>
      <c r="D35" s="152" t="s">
        <v>546</v>
      </c>
      <c r="E35" s="152" t="s">
        <v>779</v>
      </c>
      <c r="F35" s="152" t="s">
        <v>784</v>
      </c>
      <c r="G35" s="157">
        <f ca="1">SUBTOTAL(9,'AC-SCH'!D91)+318</f>
        <v>29529.465435767863</v>
      </c>
      <c r="H35" s="154"/>
      <c r="I35" s="153">
        <f ca="1">SUBTOTAL(9,'AC-SCH'!D106)</f>
        <v>39372.300000000003</v>
      </c>
      <c r="J35" s="155"/>
      <c r="K35" s="156">
        <f t="shared" si="1"/>
        <v>0.24999389327603772</v>
      </c>
      <c r="L35" s="155"/>
      <c r="M35" s="143" t="s">
        <v>534</v>
      </c>
    </row>
    <row r="36" spans="1:13">
      <c r="A36" s="143" t="s">
        <v>551</v>
      </c>
      <c r="B36" s="143" t="s">
        <v>603</v>
      </c>
      <c r="C36" s="143" t="s">
        <v>604</v>
      </c>
      <c r="D36" s="152" t="s">
        <v>546</v>
      </c>
      <c r="E36" s="152" t="s">
        <v>779</v>
      </c>
      <c r="F36" s="152" t="s">
        <v>784</v>
      </c>
      <c r="G36" s="157">
        <f ca="1">SUBTOTAL(9,'AC-SCH'!D43)+285</f>
        <v>42684.660754687487</v>
      </c>
      <c r="H36" s="154"/>
      <c r="I36" s="157">
        <f ca="1">SUBTOTAL(9,'AC-SCH'!D44)</f>
        <v>43459.652273554668</v>
      </c>
      <c r="J36" s="155"/>
      <c r="K36" s="156">
        <f t="shared" si="1"/>
        <v>1.7832437176188987E-2</v>
      </c>
      <c r="L36" s="155"/>
      <c r="M36" s="143" t="s">
        <v>534</v>
      </c>
    </row>
    <row r="37" spans="1:13">
      <c r="A37" s="143" t="s">
        <v>551</v>
      </c>
      <c r="B37" s="143" t="s">
        <v>605</v>
      </c>
      <c r="C37" s="143" t="s">
        <v>606</v>
      </c>
      <c r="D37" s="152" t="s">
        <v>546</v>
      </c>
      <c r="E37" s="152" t="s">
        <v>779</v>
      </c>
      <c r="F37" s="152" t="s">
        <v>785</v>
      </c>
      <c r="G37" s="157">
        <f ca="1">SUBTOTAL(9,'AC-SCH'!F$42)+2.48</f>
        <v>42368.002687499997</v>
      </c>
      <c r="H37" s="154"/>
      <c r="I37" s="157">
        <f ca="1">SUBTOTAL(9,'AC-SCH'!F43)</f>
        <v>43399.660754687487</v>
      </c>
      <c r="J37" s="155"/>
      <c r="K37" s="156">
        <f t="shared" si="1"/>
        <v>2.3771109019004588E-2</v>
      </c>
      <c r="L37" s="155"/>
      <c r="M37" s="143" t="s">
        <v>534</v>
      </c>
    </row>
    <row r="38" spans="1:13">
      <c r="A38" s="143" t="s">
        <v>551</v>
      </c>
      <c r="B38" s="143" t="s">
        <v>607</v>
      </c>
      <c r="C38" s="143" t="s">
        <v>608</v>
      </c>
      <c r="D38" s="152" t="s">
        <v>546</v>
      </c>
      <c r="E38" s="152" t="s">
        <v>779</v>
      </c>
      <c r="F38" s="152" t="s">
        <v>786</v>
      </c>
      <c r="G38" s="157">
        <f ca="1">SUBTOTAL(9,'AC-SCH'!D44)+38</f>
        <v>43497.652273554668</v>
      </c>
      <c r="H38" s="154"/>
      <c r="I38" s="157">
        <f ca="1">SUBTOTAL(9,'AC-SCH'!D45)</f>
        <v>44546.143580393531</v>
      </c>
      <c r="J38" s="155"/>
      <c r="K38" s="156">
        <f t="shared" si="1"/>
        <v>2.3537195873008065E-2</v>
      </c>
      <c r="L38" s="155"/>
      <c r="M38" s="143" t="s">
        <v>534</v>
      </c>
    </row>
    <row r="39" spans="1:13">
      <c r="A39" s="143" t="s">
        <v>551</v>
      </c>
      <c r="B39" s="143" t="s">
        <v>609</v>
      </c>
      <c r="C39" s="143" t="s">
        <v>610</v>
      </c>
      <c r="D39" s="152" t="s">
        <v>546</v>
      </c>
      <c r="E39" s="152" t="s">
        <v>779</v>
      </c>
      <c r="F39" s="152" t="s">
        <v>785</v>
      </c>
      <c r="G39" s="157">
        <f ca="1">SUBTOTAL(9,'AC-SCH'!D68)-14</f>
        <v>43318</v>
      </c>
      <c r="H39" s="154"/>
      <c r="I39" s="157">
        <f ca="1">SUBTOTAL(9,'AC-SCH'!D45)</f>
        <v>44546.143580393531</v>
      </c>
      <c r="J39" s="155"/>
      <c r="K39" s="156">
        <f t="shared" si="1"/>
        <v>2.7570143713497197E-2</v>
      </c>
      <c r="L39" s="155"/>
      <c r="M39" s="143" t="s">
        <v>534</v>
      </c>
    </row>
    <row r="40" spans="1:13">
      <c r="A40" s="143" t="s">
        <v>551</v>
      </c>
      <c r="B40" s="143" t="s">
        <v>611</v>
      </c>
      <c r="C40" s="143" t="s">
        <v>612</v>
      </c>
      <c r="D40" s="152" t="s">
        <v>546</v>
      </c>
      <c r="E40" s="152" t="s">
        <v>613</v>
      </c>
      <c r="F40" s="152" t="s">
        <v>613</v>
      </c>
      <c r="G40" s="157">
        <f ca="1">SUBTOTAL(9,'AC-SCH'!D166)</f>
        <v>35271.570943124985</v>
      </c>
      <c r="H40" s="154"/>
      <c r="I40" s="157">
        <f ca="1">SUBTOTAL(9,'AC-SCH'!D167)</f>
        <v>36153.360216703106</v>
      </c>
      <c r="J40" s="155"/>
      <c r="K40" s="156">
        <f t="shared" si="1"/>
        <v>2.4390243902438935E-2</v>
      </c>
      <c r="L40" s="155"/>
      <c r="M40" s="143" t="s">
        <v>534</v>
      </c>
    </row>
    <row r="41" spans="1:13">
      <c r="A41" s="143" t="s">
        <v>551</v>
      </c>
      <c r="B41" s="143" t="s">
        <v>614</v>
      </c>
      <c r="C41" s="143" t="s">
        <v>615</v>
      </c>
      <c r="D41" s="152" t="s">
        <v>546</v>
      </c>
      <c r="E41" s="152" t="s">
        <v>616</v>
      </c>
      <c r="F41" s="152" t="s">
        <v>616</v>
      </c>
      <c r="G41" s="157">
        <f ca="1">SUBTOTAL(9,'AC-SCH'!F45)</f>
        <v>45546.143580393531</v>
      </c>
      <c r="H41" s="154"/>
      <c r="I41" s="157">
        <f ca="1">SUBTOTAL(9,'AC-SCH'!F46)</f>
        <v>46659.797169903366</v>
      </c>
      <c r="J41" s="155"/>
      <c r="K41" s="156">
        <f t="shared" si="1"/>
        <v>2.3867518871860116E-2</v>
      </c>
      <c r="L41" s="155"/>
      <c r="M41" s="143" t="s">
        <v>534</v>
      </c>
    </row>
    <row r="42" spans="1:13">
      <c r="A42" s="143" t="s">
        <v>551</v>
      </c>
      <c r="B42" s="143" t="s">
        <v>617</v>
      </c>
      <c r="C42" s="143" t="s">
        <v>618</v>
      </c>
      <c r="D42" s="152" t="s">
        <v>546</v>
      </c>
      <c r="E42" s="152" t="s">
        <v>616</v>
      </c>
      <c r="F42" s="152" t="s">
        <v>616</v>
      </c>
      <c r="G42" s="157">
        <f ca="1">SUBTOTAL(9,'AC-SCH'!D168)</f>
        <v>37057.194222120677</v>
      </c>
      <c r="H42" s="154"/>
      <c r="I42" s="157">
        <f ca="1">SUBTOTAL(9,'AC-SCH'!D169)</f>
        <v>37983.624077673689</v>
      </c>
      <c r="J42" s="155"/>
      <c r="K42" s="156">
        <f t="shared" si="1"/>
        <v>2.4390243902438935E-2</v>
      </c>
      <c r="L42" s="155"/>
      <c r="M42" s="143" t="s">
        <v>534</v>
      </c>
    </row>
    <row r="43" spans="1:13">
      <c r="A43" s="143" t="s">
        <v>551</v>
      </c>
      <c r="B43" s="143" t="s">
        <v>619</v>
      </c>
      <c r="C43" s="143" t="s">
        <v>620</v>
      </c>
      <c r="D43" s="152" t="s">
        <v>546</v>
      </c>
      <c r="E43" s="152" t="s">
        <v>781</v>
      </c>
      <c r="F43" s="152" t="s">
        <v>782</v>
      </c>
      <c r="G43" s="157">
        <f ca="1">SUBTOTAL(9,'AC-SCH'!F$42)</f>
        <v>42365.522687499993</v>
      </c>
      <c r="H43" s="154"/>
      <c r="I43" s="157">
        <f ca="1">SUBTOTAL(9,'AC-SCH'!F43)</f>
        <v>43399.660754687487</v>
      </c>
      <c r="J43" s="155"/>
      <c r="K43" s="156">
        <f t="shared" si="1"/>
        <v>2.3828252322820265E-2</v>
      </c>
      <c r="L43" s="155"/>
      <c r="M43" s="143" t="s">
        <v>534</v>
      </c>
    </row>
    <row r="44" spans="1:13">
      <c r="A44" s="143" t="s">
        <v>551</v>
      </c>
      <c r="B44" s="143" t="s">
        <v>621</v>
      </c>
      <c r="C44" s="143" t="s">
        <v>600</v>
      </c>
      <c r="D44" s="152" t="s">
        <v>546</v>
      </c>
      <c r="E44" s="152" t="s">
        <v>781</v>
      </c>
      <c r="F44" s="152" t="s">
        <v>782</v>
      </c>
      <c r="G44" s="157">
        <f ca="1">SUBTOTAL(9,'AC-SCH'!D50)</f>
        <v>50399.872699462219</v>
      </c>
      <c r="H44" s="154"/>
      <c r="I44" s="157">
        <f ca="1">SUBTOTAL(9,'AC-SCH'!D51)</f>
        <v>51659.869516948769</v>
      </c>
      <c r="J44" s="155"/>
      <c r="K44" s="156">
        <f t="shared" si="1"/>
        <v>2.4390243902438935E-2</v>
      </c>
      <c r="L44" s="155"/>
      <c r="M44" s="143" t="s">
        <v>534</v>
      </c>
    </row>
    <row r="45" spans="1:13">
      <c r="A45" s="143" t="s">
        <v>551</v>
      </c>
      <c r="B45" s="143" t="s">
        <v>622</v>
      </c>
      <c r="C45" s="143" t="s">
        <v>623</v>
      </c>
      <c r="D45" s="152" t="s">
        <v>546</v>
      </c>
      <c r="E45" s="152" t="s">
        <v>781</v>
      </c>
      <c r="F45" s="152" t="s">
        <v>783</v>
      </c>
      <c r="G45" s="157">
        <f ca="1">SUBTOTAL(9,'AC-SCH'!D$44)</f>
        <v>43459.652273554668</v>
      </c>
      <c r="H45" s="154"/>
      <c r="I45" s="157">
        <f ca="1">SUBTOTAL(9,'AC-SCH'!D45)</f>
        <v>44546.143580393531</v>
      </c>
      <c r="J45" s="155"/>
      <c r="K45" s="156">
        <f t="shared" si="1"/>
        <v>2.4390243902438935E-2</v>
      </c>
      <c r="L45" s="155"/>
      <c r="M45" s="143" t="s">
        <v>534</v>
      </c>
    </row>
    <row r="46" spans="1:13">
      <c r="A46" s="143" t="s">
        <v>551</v>
      </c>
      <c r="B46" s="143" t="s">
        <v>624</v>
      </c>
      <c r="C46" s="143" t="s">
        <v>625</v>
      </c>
      <c r="D46" s="152" t="s">
        <v>546</v>
      </c>
      <c r="E46" s="152" t="s">
        <v>781</v>
      </c>
      <c r="F46" s="152" t="s">
        <v>783</v>
      </c>
      <c r="G46" s="157">
        <f ca="1">SUBTOTAL(9,'AC-SCH'!D41)</f>
        <v>40356.607499999998</v>
      </c>
      <c r="H46" s="154"/>
      <c r="I46" s="157">
        <f ca="1">SUBTOTAL(9,'AC-SCH'!D42)</f>
        <v>41365.522687499993</v>
      </c>
      <c r="J46" s="155"/>
      <c r="K46" s="156">
        <f t="shared" si="1"/>
        <v>2.4390243902438935E-2</v>
      </c>
      <c r="L46" s="155"/>
      <c r="M46" s="143" t="s">
        <v>534</v>
      </c>
    </row>
    <row r="47" spans="1:13">
      <c r="A47" s="143" t="s">
        <v>551</v>
      </c>
      <c r="B47" s="143" t="s">
        <v>599</v>
      </c>
      <c r="C47" s="143" t="s">
        <v>626</v>
      </c>
      <c r="D47" s="152" t="s">
        <v>546</v>
      </c>
      <c r="E47" s="152" t="s">
        <v>781</v>
      </c>
      <c r="F47" s="152" t="s">
        <v>788</v>
      </c>
      <c r="G47" s="157">
        <f ca="1">SUBTOTAL(9,'AC-SCH'!D$42)</f>
        <v>41365.522687499993</v>
      </c>
      <c r="H47" s="154"/>
      <c r="I47" s="157">
        <f ca="1">SUBTOTAL(9,'AC-SCH'!D43)</f>
        <v>42399.660754687487</v>
      </c>
      <c r="J47" s="155"/>
      <c r="K47" s="156">
        <f t="shared" si="1"/>
        <v>2.4390243902438935E-2</v>
      </c>
      <c r="L47" s="155"/>
      <c r="M47" s="143" t="s">
        <v>534</v>
      </c>
    </row>
    <row r="48" spans="1:13">
      <c r="A48" s="143" t="s">
        <v>551</v>
      </c>
      <c r="B48" s="143" t="s">
        <v>627</v>
      </c>
      <c r="C48" s="143" t="s">
        <v>628</v>
      </c>
      <c r="D48" s="152" t="s">
        <v>546</v>
      </c>
      <c r="E48" s="152" t="s">
        <v>781</v>
      </c>
      <c r="F48" s="152" t="s">
        <v>785</v>
      </c>
      <c r="G48" s="157">
        <f ca="1">SUBTOTAL(9,'AC-SCH'!D68)-14</f>
        <v>43318</v>
      </c>
      <c r="H48" s="154"/>
      <c r="I48" s="157">
        <f ca="1">SUBTOTAL(9,'AC-SCH'!D45)</f>
        <v>44546.143580393531</v>
      </c>
      <c r="J48" s="155"/>
      <c r="K48" s="156">
        <f t="shared" si="1"/>
        <v>2.7570143713497197E-2</v>
      </c>
      <c r="L48" s="155"/>
      <c r="M48" s="143" t="s">
        <v>534</v>
      </c>
    </row>
    <row r="49" spans="1:14">
      <c r="A49" s="143" t="s">
        <v>551</v>
      </c>
      <c r="B49" s="143" t="s">
        <v>629</v>
      </c>
      <c r="C49" s="143" t="s">
        <v>630</v>
      </c>
      <c r="D49" s="152" t="s">
        <v>546</v>
      </c>
      <c r="E49" s="152" t="s">
        <v>781</v>
      </c>
      <c r="F49" s="152" t="s">
        <v>785</v>
      </c>
      <c r="G49" s="157">
        <f ca="1">SUBTOTAL(9,'AC-SCH'!D$42)</f>
        <v>41365.522687499993</v>
      </c>
      <c r="H49" s="154"/>
      <c r="I49" s="157">
        <f ca="1">SUBTOTAL(9,'AC-SCH'!D43)</f>
        <v>42399.660754687487</v>
      </c>
      <c r="J49" s="155"/>
      <c r="K49" s="156">
        <f t="shared" si="1"/>
        <v>2.4390243902438935E-2</v>
      </c>
      <c r="L49" s="155"/>
      <c r="M49" s="143" t="s">
        <v>534</v>
      </c>
    </row>
    <row r="50" spans="1:14">
      <c r="A50" s="143" t="s">
        <v>551</v>
      </c>
      <c r="B50" s="143" t="s">
        <v>631</v>
      </c>
      <c r="C50" s="143" t="s">
        <v>632</v>
      </c>
      <c r="D50" s="152" t="s">
        <v>546</v>
      </c>
      <c r="E50" s="152" t="s">
        <v>781</v>
      </c>
      <c r="F50" s="152" t="s">
        <v>786</v>
      </c>
      <c r="G50" s="157">
        <f ca="1">SUBTOTAL(9,'AC-SCH'!D69)</f>
        <v>43832</v>
      </c>
      <c r="H50" s="154"/>
      <c r="I50" s="157">
        <f ca="1">SUBTOTAL(9,'AC-SCH'!D45)</f>
        <v>44546.143580393531</v>
      </c>
      <c r="J50" s="155"/>
      <c r="K50" s="156">
        <f t="shared" si="1"/>
        <v>1.6031546683826781E-2</v>
      </c>
      <c r="L50" s="155"/>
      <c r="M50" s="143" t="s">
        <v>534</v>
      </c>
    </row>
    <row r="51" spans="1:14">
      <c r="A51" s="143" t="s">
        <v>633</v>
      </c>
      <c r="B51" s="143" t="s">
        <v>634</v>
      </c>
      <c r="C51" s="143" t="s">
        <v>635</v>
      </c>
      <c r="D51" s="152" t="s">
        <v>546</v>
      </c>
      <c r="E51" s="152" t="s">
        <v>781</v>
      </c>
      <c r="F51" s="152" t="s">
        <v>786</v>
      </c>
      <c r="G51" s="157">
        <f ca="1">SUBTOTAL(9,'AC-SCH'!F47)</f>
        <v>47801.292099150945</v>
      </c>
      <c r="H51" s="154"/>
      <c r="I51" s="157">
        <f ca="1">SUBTOTAL(9,'AC-SCH'!F48)</f>
        <v>48971.324401629718</v>
      </c>
      <c r="J51" s="155"/>
      <c r="K51" s="156">
        <f t="shared" si="1"/>
        <v>2.3892192354916908E-2</v>
      </c>
      <c r="L51" s="155"/>
      <c r="M51" s="143" t="s">
        <v>534</v>
      </c>
    </row>
    <row r="52" spans="1:14">
      <c r="A52" s="143" t="s">
        <v>636</v>
      </c>
      <c r="B52" s="143" t="s">
        <v>637</v>
      </c>
      <c r="C52" s="143" t="s">
        <v>638</v>
      </c>
      <c r="D52" s="152" t="s">
        <v>546</v>
      </c>
      <c r="E52" s="152" t="s">
        <v>789</v>
      </c>
      <c r="F52" s="152" t="s">
        <v>790</v>
      </c>
      <c r="G52" s="157">
        <f ca="1">SUBTOTAL(9,'AC-SCH'!D85)</f>
        <v>24583.33416479094</v>
      </c>
      <c r="H52" s="154"/>
      <c r="I52" s="153">
        <f ca="1">SUBTOTAL(9,'AC-SCH'!D$106)</f>
        <v>39372.300000000003</v>
      </c>
      <c r="J52" s="155"/>
      <c r="K52" s="156">
        <f t="shared" si="1"/>
        <v>0.37561853981629378</v>
      </c>
      <c r="L52" s="155"/>
      <c r="M52" s="143" t="s">
        <v>534</v>
      </c>
    </row>
    <row r="53" spans="1:14">
      <c r="A53" s="143" t="s">
        <v>636</v>
      </c>
      <c r="B53" s="143" t="s">
        <v>639</v>
      </c>
      <c r="C53" s="143" t="s">
        <v>640</v>
      </c>
      <c r="D53" s="152" t="s">
        <v>546</v>
      </c>
      <c r="E53" s="152" t="s">
        <v>791</v>
      </c>
      <c r="F53" s="152" t="s">
        <v>790</v>
      </c>
      <c r="G53" s="157">
        <f ca="1">SUBTOTAL(9,'AC-SCH'!D$42)</f>
        <v>41365.522687499993</v>
      </c>
      <c r="H53" s="154"/>
      <c r="I53" s="157">
        <f ca="1">SUBTOTAL(9,'AC-SCH'!D43)</f>
        <v>42399.660754687487</v>
      </c>
      <c r="J53" s="155"/>
      <c r="K53" s="156">
        <f t="shared" si="1"/>
        <v>2.4390243902438935E-2</v>
      </c>
      <c r="L53" s="155"/>
      <c r="M53" s="143" t="s">
        <v>534</v>
      </c>
    </row>
    <row r="54" spans="1:14">
      <c r="A54" s="143" t="s">
        <v>636</v>
      </c>
      <c r="B54" s="143" t="s">
        <v>641</v>
      </c>
      <c r="C54" s="143" t="s">
        <v>642</v>
      </c>
      <c r="D54" s="152" t="s">
        <v>546</v>
      </c>
      <c r="E54" s="152" t="s">
        <v>792</v>
      </c>
      <c r="F54" s="152" t="s">
        <v>790</v>
      </c>
      <c r="G54" s="157">
        <f ca="1">SUBTOTAL(9,'AC-SCH'!D163)</f>
        <v>32753.16</v>
      </c>
      <c r="H54" s="154"/>
      <c r="I54" s="153">
        <f ca="1">SUBTOTAL(9,'AC-SCH'!D$106)</f>
        <v>39372.300000000003</v>
      </c>
      <c r="J54" s="155"/>
      <c r="K54" s="156">
        <f t="shared" si="1"/>
        <v>0.16811667085743032</v>
      </c>
      <c r="L54" s="155"/>
      <c r="M54" s="143" t="s">
        <v>534</v>
      </c>
      <c r="N54" s="143" t="s">
        <v>571</v>
      </c>
    </row>
    <row r="55" spans="1:14">
      <c r="A55" s="143" t="s">
        <v>636</v>
      </c>
      <c r="B55" s="143" t="s">
        <v>643</v>
      </c>
      <c r="C55" s="143" t="s">
        <v>644</v>
      </c>
      <c r="D55" s="152" t="s">
        <v>546</v>
      </c>
      <c r="E55" s="152" t="s">
        <v>793</v>
      </c>
      <c r="F55" s="152" t="s">
        <v>790</v>
      </c>
      <c r="G55" s="157">
        <f ca="1">SUBTOTAL(9,'AC-SCH'!D43)</f>
        <v>42399.660754687487</v>
      </c>
      <c r="H55" s="154"/>
      <c r="I55" s="157">
        <f ca="1">SUBTOTAL(9,'AC-SCH'!D44)</f>
        <v>43459.652273554668</v>
      </c>
      <c r="J55" s="155"/>
      <c r="K55" s="156">
        <f t="shared" si="1"/>
        <v>2.4390243902438824E-2</v>
      </c>
      <c r="L55" s="155"/>
      <c r="M55" s="143" t="s">
        <v>534</v>
      </c>
    </row>
    <row r="56" spans="1:14">
      <c r="A56" s="143" t="s">
        <v>636</v>
      </c>
      <c r="B56" s="143" t="s">
        <v>645</v>
      </c>
      <c r="C56" s="143" t="s">
        <v>646</v>
      </c>
      <c r="D56" s="152" t="s">
        <v>546</v>
      </c>
      <c r="E56" s="152" t="s">
        <v>794</v>
      </c>
      <c r="F56" s="152" t="s">
        <v>790</v>
      </c>
      <c r="G56" s="157">
        <f ca="1">SUBTOTAL(9,'AC-SCH'!D177)+189</f>
        <v>30276.809398840898</v>
      </c>
      <c r="H56" s="154"/>
      <c r="I56" s="157">
        <f ca="1">SUBTOTAL(9,'AC-SCH'!D178)</f>
        <v>30990.443680806125</v>
      </c>
      <c r="J56" s="155"/>
      <c r="K56" s="156">
        <f t="shared" si="1"/>
        <v>2.302755937654466E-2</v>
      </c>
      <c r="L56" s="155"/>
      <c r="M56" s="143" t="s">
        <v>534</v>
      </c>
    </row>
    <row r="57" spans="1:14">
      <c r="A57" s="143" t="s">
        <v>636</v>
      </c>
      <c r="B57" s="143" t="s">
        <v>647</v>
      </c>
      <c r="C57" s="143" t="s">
        <v>648</v>
      </c>
      <c r="D57" s="152" t="s">
        <v>546</v>
      </c>
      <c r="E57" s="152" t="s">
        <v>795</v>
      </c>
      <c r="F57" s="152" t="s">
        <v>790</v>
      </c>
      <c r="G57" s="157">
        <f ca="1">SUBTOTAL(9,'AC-SCH'!D$42)</f>
        <v>41365.522687499993</v>
      </c>
      <c r="H57" s="154"/>
      <c r="I57" s="157">
        <f ca="1">SUBTOTAL(9,'AC-SCH'!D43)</f>
        <v>42399.660754687487</v>
      </c>
      <c r="J57" s="155"/>
      <c r="K57" s="156">
        <f t="shared" si="1"/>
        <v>2.4390243902438935E-2</v>
      </c>
      <c r="L57" s="155"/>
      <c r="M57" s="143" t="s">
        <v>534</v>
      </c>
    </row>
    <row r="58" spans="1:14">
      <c r="A58" s="143" t="s">
        <v>649</v>
      </c>
      <c r="B58" s="143" t="s">
        <v>650</v>
      </c>
      <c r="C58" s="143" t="s">
        <v>651</v>
      </c>
      <c r="D58" s="152" t="s">
        <v>652</v>
      </c>
      <c r="E58" s="152" t="s">
        <v>796</v>
      </c>
      <c r="F58" s="152" t="s">
        <v>443</v>
      </c>
      <c r="G58" s="157">
        <f ca="1">SUM('AC-SCH'!D141)-678</f>
        <v>50000.577000000005</v>
      </c>
      <c r="H58" s="154"/>
      <c r="I58" s="157">
        <f ca="1">SUM('AC-SCH'!D142)-159</f>
        <v>51519.577000000005</v>
      </c>
      <c r="J58" s="155"/>
      <c r="K58" s="156">
        <f t="shared" si="1"/>
        <v>2.9483937727206144E-2</v>
      </c>
      <c r="L58" s="155"/>
      <c r="M58" s="143" t="s">
        <v>534</v>
      </c>
    </row>
    <row r="59" spans="1:14">
      <c r="A59" s="143" t="s">
        <v>653</v>
      </c>
      <c r="B59" s="143" t="s">
        <v>654</v>
      </c>
      <c r="C59" s="143" t="s">
        <v>655</v>
      </c>
      <c r="D59" s="152" t="s">
        <v>656</v>
      </c>
      <c r="E59" s="152" t="s">
        <v>182</v>
      </c>
      <c r="F59" s="152" t="s">
        <v>182</v>
      </c>
      <c r="G59" s="157">
        <f ca="1">SUM('AC-SCH'!F125)-925</f>
        <v>50000.260436991273</v>
      </c>
      <c r="H59" s="154"/>
      <c r="I59" s="157">
        <f ca="1">SUM('AC-SCH'!F125)+575</f>
        <v>51500.260436991273</v>
      </c>
      <c r="J59" s="155"/>
      <c r="K59" s="156">
        <f t="shared" si="1"/>
        <v>2.9126066300872333E-2</v>
      </c>
      <c r="L59" s="155"/>
      <c r="M59" s="143" t="s">
        <v>534</v>
      </c>
    </row>
    <row r="60" spans="1:14">
      <c r="A60" s="143" t="s">
        <v>657</v>
      </c>
      <c r="B60" s="143" t="s">
        <v>658</v>
      </c>
      <c r="C60" s="143" t="s">
        <v>659</v>
      </c>
      <c r="D60" s="152" t="s">
        <v>660</v>
      </c>
      <c r="E60" s="152" t="s">
        <v>797</v>
      </c>
      <c r="F60" s="152" t="s">
        <v>798</v>
      </c>
      <c r="G60" s="158">
        <v>15.73</v>
      </c>
      <c r="H60" s="154"/>
      <c r="I60" s="160">
        <f ca="1">G60*1.03</f>
        <v>16.201900000000002</v>
      </c>
      <c r="J60" s="161"/>
      <c r="K60" s="162">
        <f>G60*1.03</f>
        <v>16.201900000000002</v>
      </c>
      <c r="L60" s="161"/>
      <c r="M60" s="143" t="s">
        <v>534</v>
      </c>
    </row>
    <row r="61" spans="1:14">
      <c r="A61" s="143" t="s">
        <v>661</v>
      </c>
      <c r="B61" s="143" t="s">
        <v>662</v>
      </c>
      <c r="C61" s="143" t="s">
        <v>663</v>
      </c>
      <c r="D61" s="152" t="s">
        <v>664</v>
      </c>
      <c r="E61" s="152" t="s">
        <v>797</v>
      </c>
      <c r="F61" s="152" t="s">
        <v>799</v>
      </c>
      <c r="G61" s="158">
        <v>10</v>
      </c>
      <c r="H61" s="154"/>
      <c r="I61" s="160">
        <f ca="1">G61*1.03</f>
        <v>10.3</v>
      </c>
      <c r="J61" s="161"/>
      <c r="K61" s="162">
        <f>G61*1.03</f>
        <v>10.3</v>
      </c>
      <c r="L61" s="161"/>
      <c r="M61" s="143" t="s">
        <v>534</v>
      </c>
    </row>
    <row r="62" spans="1:14">
      <c r="A62" s="143" t="s">
        <v>661</v>
      </c>
      <c r="B62" s="143" t="s">
        <v>665</v>
      </c>
      <c r="C62" s="143" t="s">
        <v>666</v>
      </c>
      <c r="D62" s="152" t="s">
        <v>419</v>
      </c>
      <c r="E62" s="152" t="s">
        <v>419</v>
      </c>
      <c r="F62" s="152" t="s">
        <v>419</v>
      </c>
      <c r="G62" s="157">
        <f ca="1">SUM('AC-SCH'!D8)</f>
        <v>80247.438797516108</v>
      </c>
      <c r="H62" s="154"/>
      <c r="I62" s="157">
        <f ca="1">SUM('AC-SCH'!D8)+20000</f>
        <v>100247.43879751611</v>
      </c>
      <c r="J62" s="155"/>
      <c r="K62" s="156">
        <f t="shared" ref="K62:K103" si="2">1-SUM(G62/I62)</f>
        <v>0.19950634390168132</v>
      </c>
      <c r="L62" s="155"/>
      <c r="M62" s="143" t="s">
        <v>534</v>
      </c>
    </row>
    <row r="63" spans="1:14">
      <c r="A63" s="143" t="s">
        <v>667</v>
      </c>
      <c r="B63" s="143" t="s">
        <v>668</v>
      </c>
      <c r="C63" s="143" t="s">
        <v>669</v>
      </c>
      <c r="D63" s="152" t="s">
        <v>670</v>
      </c>
      <c r="E63" s="152" t="s">
        <v>800</v>
      </c>
      <c r="F63" s="152" t="s">
        <v>800</v>
      </c>
      <c r="G63" s="157">
        <f ca="1">SUM('AC-SCH'!D28)-736</f>
        <v>59999.639027162579</v>
      </c>
      <c r="H63" s="154"/>
      <c r="I63" s="157">
        <f ca="1">SUM('AC-SCH'!D28)-736</f>
        <v>59999.639027162579</v>
      </c>
      <c r="J63" s="155"/>
      <c r="K63" s="156">
        <f t="shared" si="2"/>
        <v>0</v>
      </c>
      <c r="L63" s="155"/>
      <c r="M63" s="143" t="s">
        <v>534</v>
      </c>
    </row>
    <row r="64" spans="1:14">
      <c r="A64" s="143" t="s">
        <v>667</v>
      </c>
      <c r="B64" s="143" t="s">
        <v>671</v>
      </c>
      <c r="C64" s="143" t="s">
        <v>672</v>
      </c>
      <c r="D64" s="152" t="s">
        <v>670</v>
      </c>
      <c r="E64" s="152" t="s">
        <v>800</v>
      </c>
      <c r="F64" s="152" t="s">
        <v>800</v>
      </c>
      <c r="G64" s="157">
        <f ca="1">SUM('AC-SCH'!H24)+251</f>
        <v>57500.164885627841</v>
      </c>
      <c r="H64" s="154"/>
      <c r="I64" s="157">
        <f ca="1">SUM('AC-SCH'!H24)+251</f>
        <v>57500.164885627841</v>
      </c>
      <c r="J64" s="155"/>
      <c r="K64" s="156">
        <f t="shared" si="2"/>
        <v>0</v>
      </c>
      <c r="L64" s="155"/>
      <c r="M64" s="143" t="s">
        <v>534</v>
      </c>
    </row>
    <row r="65" spans="1:13">
      <c r="A65" s="143" t="s">
        <v>673</v>
      </c>
      <c r="B65" s="143" t="s">
        <v>674</v>
      </c>
      <c r="C65" s="143" t="s">
        <v>675</v>
      </c>
      <c r="D65" s="152" t="s">
        <v>676</v>
      </c>
      <c r="E65" s="152" t="s">
        <v>189</v>
      </c>
      <c r="F65" s="152" t="s">
        <v>676</v>
      </c>
      <c r="G65" s="158">
        <v>9.0500000000000007</v>
      </c>
      <c r="H65" s="154"/>
      <c r="I65" s="160">
        <f>G65*1.03</f>
        <v>9.3215000000000003</v>
      </c>
      <c r="J65" s="161"/>
      <c r="K65" s="156">
        <f t="shared" si="2"/>
        <v>2.9126213592232997E-2</v>
      </c>
      <c r="L65" s="161"/>
      <c r="M65" s="143" t="s">
        <v>534</v>
      </c>
    </row>
    <row r="66" spans="1:13">
      <c r="A66" s="143" t="s">
        <v>673</v>
      </c>
      <c r="B66" s="143" t="s">
        <v>677</v>
      </c>
      <c r="C66" s="143" t="s">
        <v>678</v>
      </c>
      <c r="D66" s="152" t="s">
        <v>676</v>
      </c>
      <c r="E66" s="152" t="s">
        <v>189</v>
      </c>
      <c r="F66" s="152" t="s">
        <v>676</v>
      </c>
      <c r="G66" s="158">
        <v>9.6</v>
      </c>
      <c r="H66" s="154"/>
      <c r="I66" s="160">
        <f>G66*1.03</f>
        <v>9.8879999999999999</v>
      </c>
      <c r="J66" s="161"/>
      <c r="K66" s="156">
        <f t="shared" si="2"/>
        <v>2.9126213592232997E-2</v>
      </c>
      <c r="L66" s="161"/>
      <c r="M66" s="143" t="s">
        <v>534</v>
      </c>
    </row>
    <row r="67" spans="1:13">
      <c r="A67" s="143" t="s">
        <v>673</v>
      </c>
      <c r="B67" s="143" t="s">
        <v>679</v>
      </c>
      <c r="C67" s="143" t="s">
        <v>680</v>
      </c>
      <c r="D67" s="152" t="s">
        <v>676</v>
      </c>
      <c r="E67" s="152" t="s">
        <v>189</v>
      </c>
      <c r="F67" s="152" t="s">
        <v>676</v>
      </c>
      <c r="G67" s="158">
        <v>9.6</v>
      </c>
      <c r="H67" s="154"/>
      <c r="I67" s="160">
        <f>G67*1.03</f>
        <v>9.8879999999999999</v>
      </c>
      <c r="J67" s="161"/>
      <c r="K67" s="156">
        <f t="shared" si="2"/>
        <v>2.9126213592232997E-2</v>
      </c>
      <c r="L67" s="161"/>
      <c r="M67" s="143" t="s">
        <v>534</v>
      </c>
    </row>
    <row r="68" spans="1:13">
      <c r="A68" s="143" t="s">
        <v>673</v>
      </c>
      <c r="B68" s="143" t="s">
        <v>681</v>
      </c>
      <c r="C68" s="143" t="s">
        <v>682</v>
      </c>
      <c r="D68" s="152" t="s">
        <v>683</v>
      </c>
      <c r="E68" s="152" t="s">
        <v>189</v>
      </c>
      <c r="F68" s="152" t="s">
        <v>801</v>
      </c>
      <c r="G68" s="158">
        <v>9</v>
      </c>
      <c r="H68" s="154"/>
      <c r="I68" s="160">
        <f>G68*1.03</f>
        <v>9.27</v>
      </c>
      <c r="J68" s="161"/>
      <c r="K68" s="156">
        <f t="shared" si="2"/>
        <v>2.9126213592232997E-2</v>
      </c>
      <c r="L68" s="161"/>
      <c r="M68" s="143" t="s">
        <v>534</v>
      </c>
    </row>
    <row r="69" spans="1:13">
      <c r="A69" s="143" t="s">
        <v>673</v>
      </c>
      <c r="B69" s="143" t="s">
        <v>684</v>
      </c>
      <c r="C69" s="143" t="s">
        <v>685</v>
      </c>
      <c r="D69" s="152" t="s">
        <v>683</v>
      </c>
      <c r="E69" s="152" t="s">
        <v>189</v>
      </c>
      <c r="F69" s="152" t="s">
        <v>801</v>
      </c>
      <c r="G69" s="158">
        <v>17.87</v>
      </c>
      <c r="H69" s="154"/>
      <c r="I69" s="160">
        <f>G69*1.03</f>
        <v>18.406100000000002</v>
      </c>
      <c r="J69" s="161"/>
      <c r="K69" s="156">
        <f t="shared" si="2"/>
        <v>2.9126213592233108E-2</v>
      </c>
      <c r="L69" s="161"/>
      <c r="M69" s="143" t="s">
        <v>534</v>
      </c>
    </row>
    <row r="70" spans="1:13">
      <c r="A70" s="143" t="s">
        <v>686</v>
      </c>
      <c r="B70" s="143" t="s">
        <v>687</v>
      </c>
      <c r="C70" s="143" t="s">
        <v>688</v>
      </c>
      <c r="D70" s="152" t="s">
        <v>689</v>
      </c>
      <c r="E70" s="152" t="s">
        <v>185</v>
      </c>
      <c r="F70" s="152" t="s">
        <v>184</v>
      </c>
      <c r="G70" s="157">
        <f ca="1">SUM('OP-SCH'!D65)</f>
        <v>38192.400000000001</v>
      </c>
      <c r="H70" s="154"/>
      <c r="I70" s="157">
        <f ca="1">SUM('OP-SCH'!D66)</f>
        <v>39338.172000000006</v>
      </c>
      <c r="J70" s="155"/>
      <c r="K70" s="156">
        <f t="shared" si="2"/>
        <v>2.9126213592233108E-2</v>
      </c>
      <c r="L70" s="155"/>
      <c r="M70" s="143" t="s">
        <v>690</v>
      </c>
    </row>
    <row r="71" spans="1:13">
      <c r="A71" s="143" t="s">
        <v>686</v>
      </c>
      <c r="B71" s="143" t="s">
        <v>691</v>
      </c>
      <c r="C71" s="143" t="s">
        <v>692</v>
      </c>
      <c r="D71" s="152" t="s">
        <v>664</v>
      </c>
      <c r="E71" s="152" t="s">
        <v>185</v>
      </c>
      <c r="F71" s="152" t="s">
        <v>184</v>
      </c>
      <c r="G71" s="158">
        <v>13.91</v>
      </c>
      <c r="H71" s="154"/>
      <c r="I71" s="160">
        <f ca="1">G71*1.03</f>
        <v>14.327300000000001</v>
      </c>
      <c r="J71" s="161"/>
      <c r="K71" s="156">
        <f t="shared" si="2"/>
        <v>2.9126213592233108E-2</v>
      </c>
      <c r="L71" s="161"/>
      <c r="M71" s="143" t="s">
        <v>690</v>
      </c>
    </row>
    <row r="72" spans="1:13">
      <c r="A72" s="143" t="s">
        <v>693</v>
      </c>
      <c r="B72" s="143" t="s">
        <v>694</v>
      </c>
      <c r="C72" s="143" t="s">
        <v>612</v>
      </c>
      <c r="D72" s="152" t="s">
        <v>695</v>
      </c>
      <c r="E72" s="152" t="s">
        <v>802</v>
      </c>
      <c r="F72" s="152" t="s">
        <v>802</v>
      </c>
      <c r="G72" s="157">
        <f ca="1">SUM('AC-SCH'!F152)</f>
        <v>47178.577000000005</v>
      </c>
      <c r="H72" s="154"/>
      <c r="I72" s="153">
        <f ca="1">SUM('AC-SCH'!D24)</f>
        <v>53962.828622516579</v>
      </c>
      <c r="J72" s="155"/>
      <c r="K72" s="156">
        <f t="shared" si="2"/>
        <v>0.12572083035109416</v>
      </c>
      <c r="L72" s="155"/>
      <c r="M72" s="143" t="s">
        <v>690</v>
      </c>
    </row>
    <row r="73" spans="1:13">
      <c r="A73" s="143" t="s">
        <v>696</v>
      </c>
      <c r="B73" s="143" t="s">
        <v>697</v>
      </c>
      <c r="C73" s="143" t="s">
        <v>698</v>
      </c>
      <c r="D73" s="152" t="s">
        <v>699</v>
      </c>
      <c r="G73" s="157">
        <f ca="1">SUM('OP-SCH'!D49)-208</f>
        <v>38540.6</v>
      </c>
      <c r="H73" s="154"/>
      <c r="I73" s="157">
        <f ca="1">SUM('OP-SCH'!D53)</f>
        <v>43611.890675165996</v>
      </c>
      <c r="J73" s="155"/>
      <c r="K73" s="156">
        <f t="shared" si="2"/>
        <v>0.11628229358223519</v>
      </c>
      <c r="L73" s="155"/>
      <c r="M73" s="143" t="s">
        <v>690</v>
      </c>
    </row>
    <row r="74" spans="1:13">
      <c r="A74" s="143" t="s">
        <v>700</v>
      </c>
      <c r="B74" s="143" t="s">
        <v>701</v>
      </c>
      <c r="C74" s="143" t="s">
        <v>702</v>
      </c>
      <c r="D74" s="152" t="s">
        <v>703</v>
      </c>
      <c r="G74" s="157">
        <f ca="1">SUM('STF-SCH'!F9)</f>
        <v>113879.49631855001</v>
      </c>
      <c r="H74" s="154"/>
      <c r="I74" s="157">
        <f ca="1">SUM('STF-SCH'!F10)</f>
        <v>117295.88120810651</v>
      </c>
      <c r="J74" s="155"/>
      <c r="K74" s="156">
        <f t="shared" si="2"/>
        <v>2.9126213592232997E-2</v>
      </c>
      <c r="L74" s="155"/>
      <c r="M74" s="143" t="s">
        <v>690</v>
      </c>
    </row>
    <row r="75" spans="1:13">
      <c r="A75" s="143" t="s">
        <v>657</v>
      </c>
      <c r="B75" s="143" t="s">
        <v>704</v>
      </c>
      <c r="C75" s="143" t="s">
        <v>473</v>
      </c>
      <c r="D75" s="152" t="s">
        <v>705</v>
      </c>
      <c r="G75" s="157">
        <f ca="1">SUM('OP-SCH'!D81)+237</f>
        <v>49999.787580000004</v>
      </c>
      <c r="H75" s="154"/>
      <c r="I75" s="157">
        <f ca="1">SUM('OP-SCH'!D83)</f>
        <v>52793.341343622007</v>
      </c>
      <c r="J75" s="155"/>
      <c r="K75" s="156">
        <f t="shared" si="2"/>
        <v>5.2914888365168666E-2</v>
      </c>
      <c r="L75" s="155"/>
      <c r="M75" s="143" t="s">
        <v>690</v>
      </c>
    </row>
    <row r="76" spans="1:13">
      <c r="A76" s="143" t="s">
        <v>706</v>
      </c>
      <c r="B76" s="143" t="s">
        <v>707</v>
      </c>
      <c r="C76" s="143" t="s">
        <v>505</v>
      </c>
      <c r="D76" s="152" t="s">
        <v>708</v>
      </c>
      <c r="G76" s="157">
        <f ca="1">SUM('OP-SCH'!D63+100)</f>
        <v>36100</v>
      </c>
      <c r="H76" s="154"/>
      <c r="I76" s="157">
        <f ca="1">SUM('OP-SCH'!F68)</f>
        <v>42313.503711949998</v>
      </c>
      <c r="J76" s="155"/>
      <c r="K76" s="156">
        <f t="shared" si="2"/>
        <v>0.14684446256799122</v>
      </c>
      <c r="L76" s="155"/>
      <c r="M76" s="143" t="s">
        <v>690</v>
      </c>
    </row>
    <row r="77" spans="1:13">
      <c r="A77" s="143" t="s">
        <v>709</v>
      </c>
      <c r="B77" s="143" t="s">
        <v>710</v>
      </c>
      <c r="C77" s="143" t="s">
        <v>442</v>
      </c>
      <c r="D77" s="152" t="s">
        <v>472</v>
      </c>
      <c r="G77" s="157">
        <f ca="1">SUM('OP-SCH'!D37)</f>
        <v>41108.389739999999</v>
      </c>
      <c r="H77" s="154"/>
      <c r="I77" s="157">
        <f ca="1">SUM('OP-SCH'!D38)</f>
        <v>42341.641432199998</v>
      </c>
      <c r="J77" s="155"/>
      <c r="K77" s="156">
        <f t="shared" si="2"/>
        <v>2.9126213592232997E-2</v>
      </c>
      <c r="L77" s="155"/>
      <c r="M77" s="143" t="s">
        <v>690</v>
      </c>
    </row>
    <row r="78" spans="1:13">
      <c r="A78" s="143" t="s">
        <v>709</v>
      </c>
      <c r="B78" s="143" t="s">
        <v>711</v>
      </c>
      <c r="C78" s="143" t="s">
        <v>579</v>
      </c>
      <c r="D78" s="152" t="s">
        <v>712</v>
      </c>
      <c r="G78" s="157">
        <f ca="1">SUM('OP-SCH'!D10)</f>
        <v>76592.48456085271</v>
      </c>
      <c r="H78" s="154"/>
      <c r="I78" s="157">
        <f ca="1">SUM('OP-SCH'!D5)</f>
        <v>66069.350000000006</v>
      </c>
      <c r="J78" s="155"/>
      <c r="K78" s="156">
        <f t="shared" si="2"/>
        <v>-0.15927407430000007</v>
      </c>
      <c r="L78" s="155"/>
      <c r="M78" s="143" t="s">
        <v>690</v>
      </c>
    </row>
    <row r="79" spans="1:13">
      <c r="A79" s="143" t="s">
        <v>673</v>
      </c>
      <c r="B79" s="143" t="s">
        <v>713</v>
      </c>
      <c r="C79" s="143" t="s">
        <v>714</v>
      </c>
      <c r="D79" s="152" t="s">
        <v>715</v>
      </c>
      <c r="G79" s="157">
        <f ca="1">SUM('FC-SCH'!F10)</f>
        <v>55270.531512193666</v>
      </c>
      <c r="H79" s="154"/>
      <c r="I79" s="157">
        <f ca="1">SUM('FC-SCH'!F13)</f>
        <v>60395.602087724852</v>
      </c>
      <c r="J79" s="155"/>
      <c r="K79" s="156">
        <f t="shared" si="2"/>
        <v>8.4858340646840502E-2</v>
      </c>
      <c r="L79" s="155"/>
      <c r="M79" s="143" t="s">
        <v>690</v>
      </c>
    </row>
    <row r="80" spans="1:13">
      <c r="A80" s="143" t="s">
        <v>716</v>
      </c>
      <c r="B80" s="143" t="s">
        <v>684</v>
      </c>
      <c r="C80" s="143" t="s">
        <v>717</v>
      </c>
      <c r="D80" s="152" t="s">
        <v>718</v>
      </c>
      <c r="G80" s="157">
        <f ca="1">SUM('OP-SCH'!D116)</f>
        <v>60270.996775500003</v>
      </c>
      <c r="H80" s="154"/>
      <c r="I80" s="157">
        <f ca="1">SUM('OP-SCH'!D121)</f>
        <v>69870.603994056059</v>
      </c>
      <c r="J80" s="155"/>
      <c r="K80" s="156">
        <f t="shared" si="2"/>
        <v>0.13739121561583612</v>
      </c>
      <c r="L80" s="155"/>
      <c r="M80" s="143" t="s">
        <v>690</v>
      </c>
    </row>
    <row r="81" spans="1:16">
      <c r="A81" s="143" t="s">
        <v>716</v>
      </c>
      <c r="B81" s="143" t="s">
        <v>719</v>
      </c>
      <c r="C81" s="143" t="s">
        <v>720</v>
      </c>
      <c r="D81" s="152" t="s">
        <v>721</v>
      </c>
      <c r="G81" s="158">
        <v>12.5</v>
      </c>
      <c r="H81" s="154"/>
      <c r="I81" s="160">
        <f>G81*1.03</f>
        <v>12.875</v>
      </c>
      <c r="J81" s="161"/>
      <c r="K81" s="156">
        <f t="shared" si="2"/>
        <v>2.9126213592232997E-2</v>
      </c>
      <c r="L81" s="161"/>
      <c r="M81" s="143" t="s">
        <v>690</v>
      </c>
    </row>
    <row r="82" spans="1:16">
      <c r="A82" s="143" t="s">
        <v>535</v>
      </c>
      <c r="B82" s="143" t="s">
        <v>542</v>
      </c>
      <c r="C82" s="143" t="s">
        <v>722</v>
      </c>
      <c r="D82" s="152" t="s">
        <v>538</v>
      </c>
      <c r="E82" s="152" t="s">
        <v>541</v>
      </c>
      <c r="F82" s="152" t="s">
        <v>541</v>
      </c>
      <c r="G82" s="157">
        <f ca="1">SUBTOTAL(9,'AC-SCH'!D81)</f>
        <v>21841.973999999998</v>
      </c>
      <c r="H82" s="154"/>
      <c r="I82" s="157">
        <f ca="1">SUBTOTAL(9,'AC-SCH'!D82)</f>
        <v>22497.233219999998</v>
      </c>
      <c r="J82" s="155"/>
      <c r="K82" s="156">
        <f t="shared" si="2"/>
        <v>2.9126213592232997E-2</v>
      </c>
      <c r="L82" s="155"/>
      <c r="M82" s="143" t="s">
        <v>723</v>
      </c>
    </row>
    <row r="83" spans="1:16">
      <c r="A83" s="143" t="s">
        <v>551</v>
      </c>
      <c r="B83" s="143" t="s">
        <v>724</v>
      </c>
      <c r="C83" s="143" t="s">
        <v>688</v>
      </c>
      <c r="D83" s="152" t="s">
        <v>546</v>
      </c>
      <c r="E83" s="152" t="s">
        <v>580</v>
      </c>
      <c r="F83" s="152" t="s">
        <v>580</v>
      </c>
      <c r="G83" s="157">
        <f ca="1">SUBTOTAL(9,'AC-SCH'!D81)</f>
        <v>21841.973999999998</v>
      </c>
      <c r="H83" s="154"/>
      <c r="I83" s="163">
        <f ca="1">SUM('AC-SCH'!D163)</f>
        <v>32753.16</v>
      </c>
      <c r="J83" s="155"/>
      <c r="K83" s="156">
        <f t="shared" si="2"/>
        <v>0.33313384113166489</v>
      </c>
      <c r="L83" s="155"/>
      <c r="M83" s="143" t="s">
        <v>723</v>
      </c>
    </row>
    <row r="84" spans="1:16">
      <c r="A84" s="143" t="s">
        <v>551</v>
      </c>
      <c r="B84" s="143" t="s">
        <v>725</v>
      </c>
      <c r="C84" s="143" t="s">
        <v>726</v>
      </c>
      <c r="D84" s="152" t="s">
        <v>546</v>
      </c>
      <c r="E84" s="152" t="s">
        <v>616</v>
      </c>
      <c r="F84" s="152" t="s">
        <v>616</v>
      </c>
      <c r="G84" s="157">
        <f ca="1">SUBTOTAL(9,'AC-SCH'!D40)</f>
        <v>39372.300000000003</v>
      </c>
      <c r="H84" s="154"/>
      <c r="I84" s="157">
        <f ca="1">SUBTOTAL(9,'AC-SCH'!D41)</f>
        <v>40356.607499999998</v>
      </c>
      <c r="J84" s="155"/>
      <c r="K84" s="156">
        <f t="shared" si="2"/>
        <v>2.4390243902438935E-2</v>
      </c>
      <c r="L84" s="155"/>
      <c r="M84" s="143" t="s">
        <v>723</v>
      </c>
    </row>
    <row r="85" spans="1:16">
      <c r="A85" s="143" t="s">
        <v>661</v>
      </c>
      <c r="B85" s="143" t="s">
        <v>727</v>
      </c>
      <c r="C85" s="143" t="s">
        <v>728</v>
      </c>
      <c r="D85" s="152" t="s">
        <v>419</v>
      </c>
      <c r="G85" s="157">
        <f ca="1">SUM('AC-SCH'!D6)</f>
        <v>75640.907529000004</v>
      </c>
      <c r="H85" s="154"/>
      <c r="I85" s="153">
        <f ca="1">SUM('AC-SCH'!D8)</f>
        <v>80247.438797516108</v>
      </c>
      <c r="J85" s="155"/>
      <c r="K85" s="156">
        <f t="shared" si="2"/>
        <v>5.7404090866245649E-2</v>
      </c>
      <c r="L85" s="155"/>
      <c r="M85" s="143" t="s">
        <v>723</v>
      </c>
    </row>
    <row r="86" spans="1:16">
      <c r="A86" s="143" t="s">
        <v>667</v>
      </c>
      <c r="B86" s="143" t="s">
        <v>729</v>
      </c>
      <c r="C86" s="143" t="s">
        <v>730</v>
      </c>
      <c r="D86" s="152" t="s">
        <v>670</v>
      </c>
      <c r="G86" s="157">
        <f ca="1">SUM('AC-SCH'!D42)</f>
        <v>41365.522687499993</v>
      </c>
      <c r="H86" s="154"/>
      <c r="I86" s="153">
        <f ca="1">SUM('AC-SCH'!D27)</f>
        <v>58966.639832196677</v>
      </c>
      <c r="J86" s="155"/>
      <c r="K86" s="156">
        <f t="shared" si="2"/>
        <v>0.2984927951598525</v>
      </c>
      <c r="L86" s="155"/>
      <c r="M86" s="143" t="s">
        <v>723</v>
      </c>
    </row>
    <row r="87" spans="1:16">
      <c r="A87" s="143" t="s">
        <v>535</v>
      </c>
      <c r="B87" s="143" t="s">
        <v>731</v>
      </c>
      <c r="C87" s="143" t="s">
        <v>732</v>
      </c>
      <c r="D87" s="152" t="s">
        <v>538</v>
      </c>
      <c r="E87" s="152" t="s">
        <v>541</v>
      </c>
      <c r="F87" s="152" t="s">
        <v>541</v>
      </c>
      <c r="G87" s="157">
        <f ca="1">SUBTOTAL(9,'AC-SCH'!D81)</f>
        <v>21841.973999999998</v>
      </c>
      <c r="H87" s="154"/>
      <c r="I87" s="157">
        <f ca="1">SUBTOTAL(9,'AC-SCH'!D82)</f>
        <v>22497.233219999998</v>
      </c>
      <c r="J87" s="155"/>
      <c r="K87" s="156">
        <f t="shared" si="2"/>
        <v>2.9126213592232997E-2</v>
      </c>
      <c r="L87" s="155"/>
      <c r="M87" s="143" t="s">
        <v>478</v>
      </c>
    </row>
    <row r="88" spans="1:16">
      <c r="A88" s="143" t="s">
        <v>535</v>
      </c>
      <c r="B88" s="143" t="s">
        <v>733</v>
      </c>
      <c r="C88" s="143" t="s">
        <v>734</v>
      </c>
      <c r="D88" s="152" t="s">
        <v>546</v>
      </c>
      <c r="E88" s="152" t="s">
        <v>580</v>
      </c>
      <c r="F88" s="152" t="s">
        <v>580</v>
      </c>
      <c r="G88" s="157">
        <f ca="1">SUBTOTAL(9,'AC-SCH'!D$41)</f>
        <v>40356.607499999998</v>
      </c>
      <c r="H88" s="154"/>
      <c r="I88" s="157">
        <f ca="1">SUBTOTAL(9,'AC-SCH'!D42)</f>
        <v>41365.522687499993</v>
      </c>
      <c r="J88" s="155"/>
      <c r="K88" s="156">
        <f t="shared" si="2"/>
        <v>2.4390243902438935E-2</v>
      </c>
      <c r="L88" s="155"/>
      <c r="M88" s="143" t="s">
        <v>478</v>
      </c>
    </row>
    <row r="89" spans="1:16">
      <c r="A89" s="143" t="s">
        <v>535</v>
      </c>
      <c r="B89" s="143" t="s">
        <v>735</v>
      </c>
      <c r="C89" s="143" t="s">
        <v>736</v>
      </c>
      <c r="D89" s="152" t="s">
        <v>546</v>
      </c>
      <c r="E89" s="152" t="s">
        <v>541</v>
      </c>
      <c r="F89" s="152" t="s">
        <v>541</v>
      </c>
      <c r="G89" s="157">
        <f ca="1">SUBTOTAL(9,'AC-SCH'!D163)</f>
        <v>32753.16</v>
      </c>
      <c r="H89" s="154"/>
      <c r="I89" s="157">
        <f ca="1">SUBTOTAL(9,'AC-SCH'!D164)</f>
        <v>33571.988999999994</v>
      </c>
      <c r="J89" s="155"/>
      <c r="K89" s="156">
        <f t="shared" si="2"/>
        <v>2.4390243902438824E-2</v>
      </c>
      <c r="L89" s="155"/>
      <c r="M89" s="143" t="s">
        <v>478</v>
      </c>
    </row>
    <row r="90" spans="1:16">
      <c r="A90" s="143" t="s">
        <v>535</v>
      </c>
      <c r="B90" s="143" t="s">
        <v>737</v>
      </c>
      <c r="C90" s="143" t="s">
        <v>738</v>
      </c>
      <c r="D90" s="152" t="s">
        <v>546</v>
      </c>
      <c r="E90" s="152" t="s">
        <v>541</v>
      </c>
      <c r="F90" s="152" t="s">
        <v>541</v>
      </c>
      <c r="G90" s="157">
        <f ca="1">SUBTOTAL(9,'AC-SCH'!D$41)</f>
        <v>40356.607499999998</v>
      </c>
      <c r="H90" s="154"/>
      <c r="I90" s="157">
        <f ca="1">SUBTOTAL(9,'AC-SCH'!D42)</f>
        <v>41365.522687499993</v>
      </c>
      <c r="J90" s="155"/>
      <c r="K90" s="156">
        <f t="shared" si="2"/>
        <v>2.4390243902438935E-2</v>
      </c>
      <c r="L90" s="155"/>
      <c r="M90" s="143" t="s">
        <v>478</v>
      </c>
    </row>
    <row r="91" spans="1:16">
      <c r="A91" s="143" t="s">
        <v>535</v>
      </c>
      <c r="B91" s="143" t="s">
        <v>739</v>
      </c>
      <c r="C91" s="143" t="s">
        <v>588</v>
      </c>
      <c r="D91" s="152" t="s">
        <v>546</v>
      </c>
      <c r="E91" s="152" t="s">
        <v>740</v>
      </c>
      <c r="F91" s="152" t="s">
        <v>740</v>
      </c>
      <c r="G91" s="157">
        <f ca="1">SUBTOTAL(9,'AC-SCH'!F$42)+2.48</f>
        <v>42368.002687499997</v>
      </c>
      <c r="H91" s="154"/>
      <c r="I91" s="157">
        <f ca="1">SUBTOTAL(9,'AC-SCH'!F43)</f>
        <v>43399.660754687487</v>
      </c>
      <c r="J91" s="155"/>
      <c r="K91" s="156">
        <f t="shared" si="2"/>
        <v>2.3771109019004588E-2</v>
      </c>
      <c r="L91" s="155"/>
      <c r="M91" s="143" t="s">
        <v>478</v>
      </c>
    </row>
    <row r="92" spans="1:16">
      <c r="A92" s="143" t="s">
        <v>551</v>
      </c>
      <c r="B92" s="143" t="s">
        <v>614</v>
      </c>
      <c r="C92" s="143" t="s">
        <v>741</v>
      </c>
      <c r="D92" s="152" t="s">
        <v>546</v>
      </c>
      <c r="E92" s="152" t="s">
        <v>616</v>
      </c>
      <c r="F92" s="152" t="s">
        <v>616</v>
      </c>
      <c r="G92" s="157">
        <f ca="1">SUBTOTAL(9,'AC-SCH'!D177)</f>
        <v>30087.809398840898</v>
      </c>
      <c r="H92" s="154"/>
      <c r="I92" s="157">
        <f ca="1">SUBTOTAL(9,'AC-SCH'!D178)</f>
        <v>30990.443680806125</v>
      </c>
      <c r="J92" s="155"/>
      <c r="K92" s="156">
        <f t="shared" si="2"/>
        <v>2.9126213592232997E-2</v>
      </c>
      <c r="L92" s="155"/>
      <c r="M92" s="143" t="s">
        <v>478</v>
      </c>
      <c r="P92" s="143">
        <f>9*2080</f>
        <v>18720</v>
      </c>
    </row>
    <row r="93" spans="1:16">
      <c r="A93" s="143" t="s">
        <v>742</v>
      </c>
      <c r="B93" s="143" t="s">
        <v>743</v>
      </c>
      <c r="C93" s="143" t="s">
        <v>744</v>
      </c>
      <c r="D93" s="152" t="s">
        <v>745</v>
      </c>
      <c r="G93" s="157">
        <f ca="1">SUM('OP-SCH'!F106)</f>
        <v>33873.43197630487</v>
      </c>
      <c r="H93" s="154"/>
      <c r="I93" s="157">
        <f ca="1">SUM('OP-SCH'!F107)</f>
        <v>34889.634935594018</v>
      </c>
      <c r="J93" s="155"/>
      <c r="K93" s="156">
        <f t="shared" si="2"/>
        <v>2.9126213592233108E-2</v>
      </c>
      <c r="L93" s="155"/>
      <c r="M93" s="143" t="s">
        <v>478</v>
      </c>
    </row>
    <row r="94" spans="1:16">
      <c r="A94" s="143" t="s">
        <v>667</v>
      </c>
      <c r="B94" s="143" t="s">
        <v>746</v>
      </c>
      <c r="C94" s="143" t="s">
        <v>747</v>
      </c>
      <c r="D94" s="152" t="s">
        <v>748</v>
      </c>
      <c r="G94" s="157">
        <f ca="1">SUM('AC-SCH'!D28)-736</f>
        <v>59999.639027162579</v>
      </c>
      <c r="H94" s="154"/>
      <c r="I94" s="157">
        <f ca="1">SUM('AC-SCH'!D28)-736</f>
        <v>59999.639027162579</v>
      </c>
      <c r="J94" s="155"/>
      <c r="K94" s="156">
        <f t="shared" si="2"/>
        <v>0</v>
      </c>
      <c r="L94" s="155"/>
      <c r="M94" s="143" t="s">
        <v>478</v>
      </c>
    </row>
    <row r="95" spans="1:16">
      <c r="A95" s="143" t="s">
        <v>706</v>
      </c>
      <c r="B95" s="143" t="s">
        <v>749</v>
      </c>
      <c r="C95" s="143" t="s">
        <v>750</v>
      </c>
      <c r="D95" s="152" t="s">
        <v>751</v>
      </c>
      <c r="G95" s="158">
        <v>12.5</v>
      </c>
      <c r="H95" s="154"/>
      <c r="I95" s="160">
        <f>G95*1.03</f>
        <v>12.875</v>
      </c>
      <c r="J95" s="161"/>
      <c r="K95" s="156">
        <f t="shared" si="2"/>
        <v>2.9126213592232997E-2</v>
      </c>
      <c r="L95" s="161"/>
      <c r="M95" s="143" t="s">
        <v>690</v>
      </c>
    </row>
    <row r="96" spans="1:16">
      <c r="A96" s="143" t="s">
        <v>673</v>
      </c>
      <c r="B96" s="143" t="s">
        <v>701</v>
      </c>
      <c r="C96" s="143" t="s">
        <v>752</v>
      </c>
      <c r="D96" s="152" t="s">
        <v>683</v>
      </c>
      <c r="G96" s="158">
        <v>12.63</v>
      </c>
      <c r="H96" s="154"/>
      <c r="I96" s="160">
        <f>G96*1.03</f>
        <v>13.008900000000001</v>
      </c>
      <c r="J96" s="161"/>
      <c r="K96" s="156">
        <f t="shared" si="2"/>
        <v>2.9126213592232997E-2</v>
      </c>
      <c r="L96" s="161"/>
      <c r="M96" s="143" t="s">
        <v>773</v>
      </c>
    </row>
    <row r="97" spans="1:13">
      <c r="A97" s="143" t="s">
        <v>673</v>
      </c>
      <c r="B97" s="143" t="s">
        <v>635</v>
      </c>
      <c r="C97" s="143" t="s">
        <v>753</v>
      </c>
      <c r="D97" s="152" t="s">
        <v>754</v>
      </c>
      <c r="G97" s="158">
        <v>9</v>
      </c>
      <c r="H97" s="154"/>
      <c r="I97" s="160">
        <f>G97*1.03</f>
        <v>9.27</v>
      </c>
      <c r="J97" s="161"/>
      <c r="K97" s="156">
        <f t="shared" si="2"/>
        <v>2.9126213592232997E-2</v>
      </c>
      <c r="L97" s="161"/>
      <c r="M97" s="143" t="s">
        <v>773</v>
      </c>
    </row>
    <row r="98" spans="1:13">
      <c r="A98" s="143" t="s">
        <v>755</v>
      </c>
      <c r="B98" s="143" t="s">
        <v>756</v>
      </c>
      <c r="C98" s="143" t="s">
        <v>757</v>
      </c>
      <c r="D98" s="152" t="s">
        <v>758</v>
      </c>
      <c r="G98" s="157">
        <f ca="1">SUM('STF-SCH'!D67)</f>
        <v>45236.225328723165</v>
      </c>
      <c r="H98" s="154"/>
      <c r="I98" s="157">
        <f ca="1">SUM('STF-SCH'!D71)</f>
        <v>50913.770138623076</v>
      </c>
      <c r="J98" s="155"/>
      <c r="K98" s="156">
        <f t="shared" si="2"/>
        <v>0.11151295208431122</v>
      </c>
      <c r="L98" s="155"/>
      <c r="M98" s="143" t="s">
        <v>690</v>
      </c>
    </row>
    <row r="99" spans="1:13">
      <c r="A99" s="143" t="s">
        <v>755</v>
      </c>
      <c r="B99" s="143" t="s">
        <v>759</v>
      </c>
      <c r="C99" s="143" t="s">
        <v>760</v>
      </c>
      <c r="D99" s="152" t="s">
        <v>761</v>
      </c>
      <c r="G99" s="158">
        <v>17.489999999999998</v>
      </c>
      <c r="H99" s="154"/>
      <c r="I99" s="160">
        <f>G99*1.03</f>
        <v>18.014699999999998</v>
      </c>
      <c r="J99" s="161"/>
      <c r="K99" s="156">
        <f t="shared" si="2"/>
        <v>2.9126213592232997E-2</v>
      </c>
      <c r="L99" s="161"/>
      <c r="M99" s="143" t="s">
        <v>774</v>
      </c>
    </row>
    <row r="100" spans="1:13">
      <c r="A100" s="143" t="s">
        <v>755</v>
      </c>
      <c r="B100" s="143" t="s">
        <v>762</v>
      </c>
      <c r="C100" s="143" t="s">
        <v>763</v>
      </c>
      <c r="D100" s="152" t="s">
        <v>764</v>
      </c>
      <c r="G100" s="158">
        <v>15.19</v>
      </c>
      <c r="H100" s="154"/>
      <c r="I100" s="160">
        <f>G100*1.03</f>
        <v>15.6457</v>
      </c>
      <c r="J100" s="161"/>
      <c r="K100" s="156">
        <f t="shared" si="2"/>
        <v>2.9126213592232997E-2</v>
      </c>
      <c r="L100" s="161"/>
      <c r="M100" s="143" t="s">
        <v>774</v>
      </c>
    </row>
    <row r="101" spans="1:13">
      <c r="A101" s="143" t="s">
        <v>755</v>
      </c>
      <c r="B101" s="143" t="s">
        <v>765</v>
      </c>
      <c r="C101" s="143" t="s">
        <v>766</v>
      </c>
      <c r="D101" s="152" t="s">
        <v>767</v>
      </c>
      <c r="G101" s="158">
        <v>10.97</v>
      </c>
      <c r="H101" s="154"/>
      <c r="I101" s="160">
        <f>G101*1.03</f>
        <v>11.299100000000001</v>
      </c>
      <c r="J101" s="161"/>
      <c r="K101" s="156">
        <f t="shared" si="2"/>
        <v>2.9126213592232997E-2</v>
      </c>
      <c r="L101" s="161"/>
      <c r="M101" s="143" t="s">
        <v>774</v>
      </c>
    </row>
    <row r="102" spans="1:13">
      <c r="A102" s="143" t="s">
        <v>755</v>
      </c>
      <c r="B102" s="143" t="s">
        <v>768</v>
      </c>
      <c r="C102" s="143" t="s">
        <v>769</v>
      </c>
      <c r="D102" s="152" t="s">
        <v>767</v>
      </c>
      <c r="G102" s="158">
        <v>9</v>
      </c>
      <c r="H102" s="154"/>
      <c r="I102" s="160">
        <f>G102*1.03</f>
        <v>9.27</v>
      </c>
      <c r="J102" s="161"/>
      <c r="K102" s="156">
        <f t="shared" si="2"/>
        <v>2.9126213592232997E-2</v>
      </c>
      <c r="L102" s="161"/>
      <c r="M102" s="143" t="s">
        <v>774</v>
      </c>
    </row>
    <row r="103" spans="1:13">
      <c r="A103" s="143" t="s">
        <v>755</v>
      </c>
      <c r="B103" s="143" t="s">
        <v>770</v>
      </c>
      <c r="C103" s="143" t="s">
        <v>575</v>
      </c>
      <c r="D103" s="152" t="s">
        <v>771</v>
      </c>
      <c r="G103" s="158">
        <v>13.5</v>
      </c>
      <c r="H103" s="154"/>
      <c r="I103" s="160">
        <f>G103*1.03</f>
        <v>13.905000000000001</v>
      </c>
      <c r="J103" s="161"/>
      <c r="K103" s="156">
        <f t="shared" si="2"/>
        <v>2.9126213592233108E-2</v>
      </c>
      <c r="L103" s="161"/>
      <c r="M103" s="143" t="s">
        <v>774</v>
      </c>
    </row>
    <row r="104" spans="1:13">
      <c r="I104" s="160"/>
    </row>
    <row r="107" spans="1:13">
      <c r="A107" s="143" t="s">
        <v>772</v>
      </c>
    </row>
  </sheetData>
  <phoneticPr fontId="0" type="noConversion"/>
  <printOptions horizontalCentered="1" verticalCentered="1" gridLines="1"/>
  <pageMargins left="0.25" right="0.25" top="0.75" bottom="0.75" header="0.3" footer="0.3"/>
  <pageSetup orientation="landscape" r:id="rId1"/>
  <ignoredErrors>
    <ignoredError sqref="I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96"/>
  <sheetViews>
    <sheetView tabSelected="1" zoomScale="80" zoomScaleNormal="80" workbookViewId="0">
      <pane xSplit="2" ySplit="10" topLeftCell="C11" activePane="bottomRight" state="frozen"/>
      <selection activeCell="C186" sqref="C186"/>
      <selection pane="topRight" activeCell="C186" sqref="C186"/>
      <selection pane="bottomLeft" activeCell="C186" sqref="C186"/>
      <selection pane="bottomRight" activeCell="G48" sqref="G48"/>
    </sheetView>
  </sheetViews>
  <sheetFormatPr defaultColWidth="11.42578125" defaultRowHeight="11.25" outlineLevelRow="1"/>
  <cols>
    <col min="1" max="1" width="15" style="33" customWidth="1"/>
    <col min="2" max="2" width="26.85546875" style="33" customWidth="1"/>
    <col min="3" max="4" width="13" style="32" customWidth="1"/>
    <col min="5" max="5" width="2.7109375" style="28" customWidth="1"/>
    <col min="6" max="7" width="12.5703125" style="32" bestFit="1" customWidth="1"/>
    <col min="8" max="8" width="2.7109375" style="28" customWidth="1"/>
    <col min="9" max="9" width="13.28515625" style="32" customWidth="1"/>
    <col min="10" max="10" width="11.42578125" style="32"/>
    <col min="11" max="11" width="2.7109375" style="28" customWidth="1"/>
    <col min="12" max="12" width="12.28515625" style="32" bestFit="1" customWidth="1"/>
    <col min="13" max="13" width="14.28515625" style="32" bestFit="1" customWidth="1"/>
    <col min="14" max="14" width="2.7109375" style="28" customWidth="1"/>
    <col min="15" max="16" width="13.7109375" style="32" customWidth="1"/>
    <col min="17" max="17" width="3.42578125" style="28" customWidth="1"/>
    <col min="18" max="16384" width="11.42578125" style="28"/>
  </cols>
  <sheetData>
    <row r="5" spans="1:17">
      <c r="A5" s="33" t="s">
        <v>474</v>
      </c>
      <c r="B5" s="34">
        <v>635</v>
      </c>
    </row>
    <row r="6" spans="1:17">
      <c r="A6" s="33" t="s">
        <v>475</v>
      </c>
      <c r="B6" s="34">
        <f>75+14+90</f>
        <v>179</v>
      </c>
    </row>
    <row r="7" spans="1:17" s="29" customFormat="1">
      <c r="A7" s="30" t="s">
        <v>433</v>
      </c>
      <c r="B7" s="34">
        <f>100+72+22+20+15+80</f>
        <v>309</v>
      </c>
      <c r="C7" s="124"/>
      <c r="D7" s="124"/>
      <c r="F7" s="124"/>
      <c r="G7" s="124"/>
      <c r="I7" s="124"/>
      <c r="J7" s="124"/>
      <c r="L7" s="124"/>
      <c r="M7" s="124"/>
      <c r="O7" s="124"/>
      <c r="P7" s="124"/>
    </row>
    <row r="8" spans="1:17">
      <c r="C8" s="100" t="s">
        <v>841</v>
      </c>
      <c r="D8" s="100" t="s">
        <v>841</v>
      </c>
      <c r="F8" s="126" t="s">
        <v>842</v>
      </c>
      <c r="G8" s="126" t="s">
        <v>842</v>
      </c>
      <c r="I8" s="106" t="s">
        <v>488</v>
      </c>
      <c r="J8" s="106" t="s">
        <v>488</v>
      </c>
      <c r="L8" s="112" t="s">
        <v>504</v>
      </c>
      <c r="M8" s="112" t="s">
        <v>504</v>
      </c>
      <c r="O8" s="118" t="s">
        <v>514</v>
      </c>
      <c r="P8" s="118" t="s">
        <v>512</v>
      </c>
    </row>
    <row r="9" spans="1:17" s="31" customFormat="1">
      <c r="A9" s="33"/>
      <c r="B9" s="33"/>
      <c r="C9" s="133" t="s">
        <v>513</v>
      </c>
      <c r="D9" s="100" t="s">
        <v>511</v>
      </c>
      <c r="F9" s="132" t="s">
        <v>513</v>
      </c>
      <c r="G9" s="126" t="s">
        <v>511</v>
      </c>
      <c r="I9" s="131" t="s">
        <v>513</v>
      </c>
      <c r="J9" s="106" t="s">
        <v>511</v>
      </c>
      <c r="L9" s="168" t="s">
        <v>513</v>
      </c>
      <c r="M9" s="112" t="s">
        <v>511</v>
      </c>
      <c r="O9" s="134" t="s">
        <v>513</v>
      </c>
      <c r="P9" s="134" t="s">
        <v>511</v>
      </c>
    </row>
    <row r="10" spans="1:17" s="36" customFormat="1" ht="12" thickBot="1">
      <c r="A10" s="35"/>
      <c r="B10" s="35" t="s">
        <v>174</v>
      </c>
      <c r="C10" s="101" t="s">
        <v>373</v>
      </c>
      <c r="D10" s="101" t="s">
        <v>512</v>
      </c>
      <c r="E10" s="123"/>
      <c r="F10" s="127" t="s">
        <v>373</v>
      </c>
      <c r="G10" s="127" t="s">
        <v>512</v>
      </c>
      <c r="H10" s="123"/>
      <c r="I10" s="107" t="s">
        <v>373</v>
      </c>
      <c r="J10" s="107" t="s">
        <v>512</v>
      </c>
      <c r="K10" s="123"/>
      <c r="L10" s="113" t="s">
        <v>489</v>
      </c>
      <c r="M10" s="113" t="s">
        <v>512</v>
      </c>
      <c r="N10" s="123"/>
      <c r="O10" s="119" t="s">
        <v>373</v>
      </c>
      <c r="P10" s="119" t="s">
        <v>373</v>
      </c>
      <c r="Q10" s="123"/>
    </row>
    <row r="11" spans="1:17">
      <c r="A11" s="33" t="s">
        <v>271</v>
      </c>
      <c r="C11" s="99"/>
      <c r="D11" s="99"/>
      <c r="E11" s="26"/>
      <c r="F11" s="125"/>
      <c r="G11" s="125"/>
      <c r="H11" s="26"/>
      <c r="I11" s="105"/>
      <c r="J11" s="105"/>
      <c r="K11" s="26"/>
      <c r="L11" s="111"/>
      <c r="M11" s="111"/>
      <c r="N11" s="26"/>
      <c r="O11" s="117"/>
      <c r="P11" s="117"/>
      <c r="Q11" s="26"/>
    </row>
    <row r="12" spans="1:17" outlineLevel="1">
      <c r="A12" s="33" t="s">
        <v>272</v>
      </c>
      <c r="C12" s="99"/>
      <c r="D12" s="99"/>
      <c r="E12" s="26"/>
      <c r="F12" s="125"/>
      <c r="G12" s="125"/>
      <c r="H12" s="26"/>
      <c r="I12" s="105"/>
      <c r="J12" s="105"/>
      <c r="K12" s="26"/>
      <c r="L12" s="111"/>
      <c r="M12" s="111"/>
      <c r="N12" s="26"/>
      <c r="O12" s="117"/>
      <c r="P12" s="117"/>
      <c r="Q12" s="26"/>
    </row>
    <row r="13" spans="1:17" outlineLevel="1">
      <c r="A13" s="33" t="s">
        <v>171</v>
      </c>
      <c r="B13" s="33" t="s">
        <v>273</v>
      </c>
      <c r="C13" s="102">
        <f ca="1">SUM(CAMP!BN13)</f>
        <v>50000</v>
      </c>
      <c r="D13" s="103">
        <v>5139</v>
      </c>
      <c r="E13" s="71"/>
      <c r="F13" s="128">
        <f ca="1">SUM(OLIVIER!AN13)</f>
        <v>25000</v>
      </c>
      <c r="G13" s="128">
        <v>2500</v>
      </c>
      <c r="H13" s="71"/>
      <c r="I13" s="108">
        <f ca="1">SUM(JEFF!AZ13)</f>
        <v>75000</v>
      </c>
      <c r="J13" s="108"/>
      <c r="K13" s="71"/>
      <c r="L13" s="114">
        <f ca="1">SUM(CMO!T13)</f>
        <v>40000</v>
      </c>
      <c r="M13" s="114">
        <v>474</v>
      </c>
      <c r="N13" s="71"/>
      <c r="O13" s="120">
        <f>SUM(C13+F13+I13+L13)</f>
        <v>190000</v>
      </c>
      <c r="P13" s="120">
        <f>SUM(D13+G13+J13+M13)</f>
        <v>8113</v>
      </c>
      <c r="Q13" s="71"/>
    </row>
    <row r="14" spans="1:17" outlineLevel="1">
      <c r="A14" s="33" t="s">
        <v>172</v>
      </c>
      <c r="B14" s="33" t="s">
        <v>274</v>
      </c>
      <c r="C14" s="103">
        <f ca="1">SUM(CAMP!BN14)</f>
        <v>50000</v>
      </c>
      <c r="D14" s="103">
        <v>9157</v>
      </c>
      <c r="E14" s="71"/>
      <c r="F14" s="129">
        <f ca="1">SUM(OLIVIER!AN14)</f>
        <v>25000</v>
      </c>
      <c r="G14" s="129"/>
      <c r="H14" s="71"/>
      <c r="I14" s="109">
        <f ca="1">SUM(JEFF!AZ14)</f>
        <v>46350</v>
      </c>
      <c r="J14" s="109"/>
      <c r="K14" s="71"/>
      <c r="L14" s="115">
        <f ca="1">SUM(CMO!T14)</f>
        <v>65000</v>
      </c>
      <c r="M14" s="115">
        <v>35177</v>
      </c>
      <c r="N14" s="71"/>
      <c r="O14" s="121">
        <f t="shared" ref="O14:O37" si="0">SUM(C14+F14+I14+L14)</f>
        <v>186350</v>
      </c>
      <c r="P14" s="121">
        <f t="shared" ref="P14:P37" si="1">SUM(D14+G14+J14+M14)</f>
        <v>44334</v>
      </c>
      <c r="Q14" s="71"/>
    </row>
    <row r="15" spans="1:17" outlineLevel="1">
      <c r="A15" s="33" t="s">
        <v>173</v>
      </c>
      <c r="B15" s="33" t="s">
        <v>275</v>
      </c>
      <c r="C15" s="103">
        <f ca="1">SUM(CAMP!BN15)</f>
        <v>0</v>
      </c>
      <c r="D15" s="103">
        <v>500</v>
      </c>
      <c r="E15" s="71"/>
      <c r="F15" s="129">
        <f ca="1">SUM(OLIVIER!AN15)</f>
        <v>0</v>
      </c>
      <c r="G15" s="129"/>
      <c r="H15" s="71"/>
      <c r="I15" s="109">
        <f ca="1">SUM(JEFF!AZ15)</f>
        <v>0</v>
      </c>
      <c r="J15" s="109"/>
      <c r="K15" s="71"/>
      <c r="L15" s="115">
        <f ca="1">SUM(CMO!T15)</f>
        <v>5000</v>
      </c>
      <c r="M15" s="115"/>
      <c r="N15" s="71"/>
      <c r="O15" s="121">
        <f t="shared" si="0"/>
        <v>5000</v>
      </c>
      <c r="P15" s="121">
        <f t="shared" si="1"/>
        <v>500</v>
      </c>
      <c r="Q15" s="71"/>
    </row>
    <row r="16" spans="1:17" outlineLevel="1">
      <c r="A16" s="33" t="s">
        <v>194</v>
      </c>
      <c r="B16" s="33" t="s">
        <v>276</v>
      </c>
      <c r="C16" s="103">
        <f ca="1">SUM(CAMP!BN16)</f>
        <v>101600</v>
      </c>
      <c r="D16" s="103">
        <f>66072+4575</f>
        <v>70647</v>
      </c>
      <c r="E16" s="71"/>
      <c r="F16" s="129">
        <f ca="1">SUM(OLIVIER!AN16)</f>
        <v>28640</v>
      </c>
      <c r="G16" s="129">
        <f>9056+4575</f>
        <v>13631</v>
      </c>
      <c r="H16" s="71"/>
      <c r="I16" s="109">
        <f ca="1">SUM(JEFF!AZ16)</f>
        <v>49440</v>
      </c>
      <c r="J16" s="109"/>
      <c r="K16" s="71"/>
      <c r="L16" s="115">
        <f ca="1">SUM(CMO!T16)</f>
        <v>0</v>
      </c>
      <c r="M16" s="115">
        <f>30499-25924-4575</f>
        <v>0</v>
      </c>
      <c r="N16" s="71"/>
      <c r="O16" s="121">
        <f t="shared" si="0"/>
        <v>179680</v>
      </c>
      <c r="P16" s="121">
        <f t="shared" si="1"/>
        <v>84278</v>
      </c>
      <c r="Q16" s="71"/>
    </row>
    <row r="17" spans="1:17" outlineLevel="1">
      <c r="A17" s="33" t="s">
        <v>195</v>
      </c>
      <c r="B17" s="33" t="s">
        <v>277</v>
      </c>
      <c r="C17" s="103">
        <f ca="1">SUM(CAMP!BN17)</f>
        <v>67500</v>
      </c>
      <c r="D17" s="103">
        <f>70677-7250</f>
        <v>63427</v>
      </c>
      <c r="E17" s="71"/>
      <c r="F17" s="129">
        <f ca="1">SUM(OLIVIER!AN17)</f>
        <v>33750</v>
      </c>
      <c r="G17" s="129">
        <v>8502</v>
      </c>
      <c r="H17" s="71"/>
      <c r="I17" s="109">
        <f ca="1">SUM(JEFF!AZ17)</f>
        <v>33750</v>
      </c>
      <c r="J17" s="109"/>
      <c r="K17" s="71"/>
      <c r="L17" s="115">
        <f ca="1">SUM(CMO!T17)</f>
        <v>0</v>
      </c>
      <c r="M17" s="115"/>
      <c r="N17" s="71"/>
      <c r="O17" s="121">
        <f t="shared" si="0"/>
        <v>135000</v>
      </c>
      <c r="P17" s="121">
        <f t="shared" si="1"/>
        <v>71929</v>
      </c>
      <c r="Q17" s="71"/>
    </row>
    <row r="18" spans="1:17" outlineLevel="1">
      <c r="A18" s="33" t="s">
        <v>196</v>
      </c>
      <c r="B18" s="33" t="s">
        <v>278</v>
      </c>
      <c r="C18" s="103">
        <f ca="1">SUM(CAMP!BN18)</f>
        <v>73818.181818181809</v>
      </c>
      <c r="D18" s="103">
        <v>102682</v>
      </c>
      <c r="E18" s="71"/>
      <c r="F18" s="129">
        <f ca="1">SUM(OLIVIER!AN18)</f>
        <v>26363.636363636364</v>
      </c>
      <c r="G18" s="129">
        <v>10090</v>
      </c>
      <c r="H18" s="71"/>
      <c r="I18" s="109">
        <f ca="1">SUM(JEFF!AZ18)</f>
        <v>0</v>
      </c>
      <c r="J18" s="109"/>
      <c r="K18" s="71"/>
      <c r="L18" s="115">
        <f ca="1">SUM(CMO!T18)</f>
        <v>0</v>
      </c>
      <c r="M18" s="115"/>
      <c r="N18" s="71"/>
      <c r="O18" s="121">
        <f t="shared" si="0"/>
        <v>100181.81818181818</v>
      </c>
      <c r="P18" s="121">
        <f t="shared" si="1"/>
        <v>112772</v>
      </c>
      <c r="Q18" s="71"/>
    </row>
    <row r="19" spans="1:17" outlineLevel="1">
      <c r="A19" s="33" t="s">
        <v>197</v>
      </c>
      <c r="B19" s="33" t="s">
        <v>279</v>
      </c>
      <c r="C19" s="103">
        <f ca="1">SUM(CAMP!BN19)</f>
        <v>0</v>
      </c>
      <c r="D19" s="103"/>
      <c r="E19" s="71"/>
      <c r="F19" s="129">
        <f ca="1">SUM(OLIVIER!AN19)</f>
        <v>0</v>
      </c>
      <c r="G19" s="129"/>
      <c r="H19" s="71"/>
      <c r="I19" s="109">
        <f ca="1">SUM(JEFF!AZ19)</f>
        <v>0</v>
      </c>
      <c r="J19" s="109"/>
      <c r="K19" s="71"/>
      <c r="L19" s="115">
        <f ca="1">SUM(CMO!T19)</f>
        <v>0</v>
      </c>
      <c r="M19" s="115">
        <v>1925</v>
      </c>
      <c r="N19" s="71"/>
      <c r="O19" s="121">
        <f t="shared" si="0"/>
        <v>0</v>
      </c>
      <c r="P19" s="121">
        <f t="shared" si="1"/>
        <v>1925</v>
      </c>
      <c r="Q19" s="71"/>
    </row>
    <row r="20" spans="1:17" outlineLevel="1">
      <c r="A20" s="33" t="s">
        <v>198</v>
      </c>
      <c r="B20" s="33" t="s">
        <v>280</v>
      </c>
      <c r="C20" s="103">
        <f ca="1">SUM(CAMP!BN20)</f>
        <v>67450</v>
      </c>
      <c r="D20" s="103">
        <v>12690</v>
      </c>
      <c r="E20" s="71"/>
      <c r="F20" s="129">
        <f ca="1">SUM(OLIVIER!AN20)</f>
        <v>0</v>
      </c>
      <c r="G20" s="129"/>
      <c r="H20" s="71"/>
      <c r="I20" s="109">
        <f ca="1">SUM(JEFF!AZ20)</f>
        <v>0</v>
      </c>
      <c r="J20" s="109"/>
      <c r="K20" s="71"/>
      <c r="L20" s="115">
        <f ca="1">SUM(CMO!T20)</f>
        <v>0</v>
      </c>
      <c r="M20" s="115"/>
      <c r="N20" s="71"/>
      <c r="O20" s="121">
        <f t="shared" si="0"/>
        <v>67450</v>
      </c>
      <c r="P20" s="121">
        <f t="shared" si="1"/>
        <v>12690</v>
      </c>
      <c r="Q20" s="71"/>
    </row>
    <row r="21" spans="1:17" outlineLevel="1">
      <c r="A21" s="33" t="s">
        <v>199</v>
      </c>
      <c r="B21" s="33" t="s">
        <v>281</v>
      </c>
      <c r="C21" s="103">
        <f ca="1">SUM(CAMP!BN21)</f>
        <v>53200</v>
      </c>
      <c r="D21" s="103">
        <v>97157</v>
      </c>
      <c r="E21" s="71"/>
      <c r="F21" s="129">
        <f ca="1">SUM(OLIVIER!AN21)</f>
        <v>34010</v>
      </c>
      <c r="G21" s="129">
        <v>15115</v>
      </c>
      <c r="H21" s="71"/>
      <c r="I21" s="109">
        <f ca="1">SUM(JEFF!AZ21)</f>
        <v>58710</v>
      </c>
      <c r="J21" s="109"/>
      <c r="K21" s="71"/>
      <c r="L21" s="115">
        <f ca="1">SUM(CMO!T21)</f>
        <v>0</v>
      </c>
      <c r="M21" s="115"/>
      <c r="N21" s="71"/>
      <c r="O21" s="121">
        <f t="shared" si="0"/>
        <v>145920</v>
      </c>
      <c r="P21" s="121">
        <f t="shared" si="1"/>
        <v>112272</v>
      </c>
      <c r="Q21" s="71"/>
    </row>
    <row r="22" spans="1:17" outlineLevel="1">
      <c r="A22" s="33" t="s">
        <v>200</v>
      </c>
      <c r="B22" s="33" t="s">
        <v>282</v>
      </c>
      <c r="C22" s="103">
        <f ca="1">SUM(CAMP!BN22)</f>
        <v>0</v>
      </c>
      <c r="D22" s="103"/>
      <c r="E22" s="71"/>
      <c r="F22" s="129">
        <f ca="1">SUM(OLIVIER!AN22)</f>
        <v>0</v>
      </c>
      <c r="G22" s="129"/>
      <c r="H22" s="71"/>
      <c r="I22" s="109">
        <f ca="1">SUM(JEFF!AZ22)</f>
        <v>0</v>
      </c>
      <c r="J22" s="109"/>
      <c r="K22" s="71"/>
      <c r="L22" s="115">
        <f ca="1">SUM(CMO!T22)</f>
        <v>0</v>
      </c>
      <c r="M22" s="115"/>
      <c r="N22" s="71"/>
      <c r="O22" s="121">
        <f t="shared" si="0"/>
        <v>0</v>
      </c>
      <c r="P22" s="121">
        <f t="shared" si="1"/>
        <v>0</v>
      </c>
      <c r="Q22" s="71"/>
    </row>
    <row r="23" spans="1:17" outlineLevel="1">
      <c r="A23" s="33" t="s">
        <v>201</v>
      </c>
      <c r="B23" s="33" t="s">
        <v>283</v>
      </c>
      <c r="C23" s="103">
        <f ca="1">SUM(CAMP!BN23)</f>
        <v>500</v>
      </c>
      <c r="D23" s="103">
        <v>-305</v>
      </c>
      <c r="E23" s="71"/>
      <c r="F23" s="129">
        <f ca="1">SUM(OLIVIER!AN23)</f>
        <v>500</v>
      </c>
      <c r="G23" s="129"/>
      <c r="H23" s="71"/>
      <c r="I23" s="109">
        <f ca="1">SUM(JEFF!AZ23)</f>
        <v>500</v>
      </c>
      <c r="J23" s="109"/>
      <c r="K23" s="71"/>
      <c r="L23" s="115">
        <f ca="1">SUM(CMO!T23)</f>
        <v>0</v>
      </c>
      <c r="M23" s="115"/>
      <c r="N23" s="71"/>
      <c r="O23" s="121">
        <f t="shared" si="0"/>
        <v>1500</v>
      </c>
      <c r="P23" s="121">
        <f t="shared" si="1"/>
        <v>-305</v>
      </c>
      <c r="Q23" s="71"/>
    </row>
    <row r="24" spans="1:17" outlineLevel="1">
      <c r="A24" s="33" t="s">
        <v>202</v>
      </c>
      <c r="B24" s="33" t="s">
        <v>284</v>
      </c>
      <c r="C24" s="103">
        <f ca="1">SUM(CAMP!BN24)</f>
        <v>0</v>
      </c>
      <c r="D24" s="103">
        <v>-32</v>
      </c>
      <c r="E24" s="71"/>
      <c r="F24" s="129">
        <f ca="1">SUM(OLIVIER!AN24)</f>
        <v>0</v>
      </c>
      <c r="G24" s="129"/>
      <c r="H24" s="71"/>
      <c r="I24" s="109">
        <f ca="1">SUM(JEFF!AZ24)</f>
        <v>0</v>
      </c>
      <c r="J24" s="109"/>
      <c r="K24" s="71"/>
      <c r="L24" s="115">
        <f ca="1">SUM(CMO!T24)</f>
        <v>0</v>
      </c>
      <c r="M24" s="115"/>
      <c r="N24" s="71"/>
      <c r="O24" s="121">
        <f t="shared" si="0"/>
        <v>0</v>
      </c>
      <c r="P24" s="121">
        <f t="shared" si="1"/>
        <v>-32</v>
      </c>
      <c r="Q24" s="71"/>
    </row>
    <row r="25" spans="1:17" outlineLevel="1">
      <c r="A25" s="33" t="s">
        <v>203</v>
      </c>
      <c r="B25" s="33" t="s">
        <v>285</v>
      </c>
      <c r="C25" s="103">
        <f ca="1">SUM(CAMP!BN25)</f>
        <v>0</v>
      </c>
      <c r="D25" s="103"/>
      <c r="E25" s="71"/>
      <c r="F25" s="129">
        <f ca="1">SUM(OLIVIER!AN25)</f>
        <v>0</v>
      </c>
      <c r="G25" s="129"/>
      <c r="H25" s="71"/>
      <c r="I25" s="109">
        <f ca="1">SUM(JEFF!AZ25)</f>
        <v>0</v>
      </c>
      <c r="J25" s="109"/>
      <c r="K25" s="71"/>
      <c r="L25" s="115">
        <f ca="1">SUM(CMO!T25)</f>
        <v>0</v>
      </c>
      <c r="M25" s="115">
        <v>850</v>
      </c>
      <c r="N25" s="71"/>
      <c r="O25" s="121">
        <f t="shared" si="0"/>
        <v>0</v>
      </c>
      <c r="P25" s="121">
        <f t="shared" si="1"/>
        <v>850</v>
      </c>
      <c r="Q25" s="71"/>
    </row>
    <row r="26" spans="1:17" outlineLevel="1">
      <c r="A26" s="33" t="s">
        <v>204</v>
      </c>
      <c r="B26" s="33" t="s">
        <v>286</v>
      </c>
      <c r="C26" s="103">
        <f ca="1">SUM(CAMP!BN26)</f>
        <v>0</v>
      </c>
      <c r="D26" s="103">
        <v>-1609</v>
      </c>
      <c r="E26" s="71"/>
      <c r="F26" s="129">
        <f ca="1">SUM(OLIVIER!AN26)</f>
        <v>0</v>
      </c>
      <c r="G26" s="129"/>
      <c r="H26" s="71"/>
      <c r="I26" s="109">
        <f ca="1">SUM(JEFF!AZ26)</f>
        <v>0</v>
      </c>
      <c r="J26" s="109"/>
      <c r="K26" s="71"/>
      <c r="L26" s="115">
        <f ca="1">SUM(CMO!T26)</f>
        <v>0</v>
      </c>
      <c r="M26" s="115"/>
      <c r="N26" s="71"/>
      <c r="O26" s="121">
        <f t="shared" si="0"/>
        <v>0</v>
      </c>
      <c r="P26" s="121">
        <f t="shared" si="1"/>
        <v>-1609</v>
      </c>
      <c r="Q26" s="71"/>
    </row>
    <row r="27" spans="1:17" outlineLevel="1">
      <c r="A27" s="33" t="s">
        <v>205</v>
      </c>
      <c r="B27" s="33" t="s">
        <v>287</v>
      </c>
      <c r="C27" s="103">
        <f ca="1">SUM(CAMP!BN27)</f>
        <v>0</v>
      </c>
      <c r="D27" s="103">
        <f>23585-9579</f>
        <v>14006</v>
      </c>
      <c r="E27" s="71"/>
      <c r="F27" s="129">
        <f ca="1">SUM(OLIVIER!AN27)</f>
        <v>0</v>
      </c>
      <c r="G27" s="129">
        <f>4840-1853</f>
        <v>2987</v>
      </c>
      <c r="H27" s="71"/>
      <c r="I27" s="109">
        <f ca="1">SUM(JEFF!AZ27)</f>
        <v>0</v>
      </c>
      <c r="J27" s="109"/>
      <c r="K27" s="71"/>
      <c r="L27" s="115">
        <f ca="1">SUM(CMO!T27)</f>
        <v>0</v>
      </c>
      <c r="M27" s="115"/>
      <c r="N27" s="71"/>
      <c r="O27" s="121">
        <f t="shared" si="0"/>
        <v>0</v>
      </c>
      <c r="P27" s="121">
        <f t="shared" si="1"/>
        <v>16993</v>
      </c>
      <c r="Q27" s="71"/>
    </row>
    <row r="28" spans="1:17" outlineLevel="1">
      <c r="A28" s="33" t="s">
        <v>206</v>
      </c>
      <c r="B28" s="33" t="s">
        <v>288</v>
      </c>
      <c r="C28" s="103">
        <f ca="1">SUM(CAMP!BN28)</f>
        <v>0</v>
      </c>
      <c r="D28" s="103">
        <v>3985</v>
      </c>
      <c r="E28" s="71"/>
      <c r="F28" s="129">
        <f ca="1">SUM(OLIVIER!AN28)</f>
        <v>0</v>
      </c>
      <c r="G28" s="129">
        <v>767</v>
      </c>
      <c r="H28" s="71"/>
      <c r="I28" s="109">
        <f ca="1">SUM(JEFF!AZ28)</f>
        <v>0</v>
      </c>
      <c r="J28" s="109"/>
      <c r="K28" s="71"/>
      <c r="L28" s="115">
        <f ca="1">SUM(CMO!T28)</f>
        <v>0</v>
      </c>
      <c r="M28" s="115"/>
      <c r="N28" s="71"/>
      <c r="O28" s="121">
        <f t="shared" si="0"/>
        <v>0</v>
      </c>
      <c r="P28" s="121">
        <f t="shared" si="1"/>
        <v>4752</v>
      </c>
      <c r="Q28" s="71"/>
    </row>
    <row r="29" spans="1:17" outlineLevel="1">
      <c r="A29" s="33" t="s">
        <v>207</v>
      </c>
      <c r="B29" s="33" t="s">
        <v>289</v>
      </c>
      <c r="C29" s="103">
        <f ca="1">SUM(CAMP!BN29)</f>
        <v>300</v>
      </c>
      <c r="D29" s="103">
        <v>29</v>
      </c>
      <c r="E29" s="71"/>
      <c r="F29" s="129">
        <f ca="1">SUM(OLIVIER!AN29)</f>
        <v>300</v>
      </c>
      <c r="G29" s="129"/>
      <c r="H29" s="71"/>
      <c r="I29" s="109">
        <f ca="1">SUM(JEFF!AZ29)</f>
        <v>300</v>
      </c>
      <c r="J29" s="109"/>
      <c r="K29" s="71"/>
      <c r="L29" s="115">
        <f ca="1">SUM(CMO!T29)</f>
        <v>0</v>
      </c>
      <c r="M29" s="115"/>
      <c r="N29" s="71"/>
      <c r="O29" s="121">
        <f t="shared" si="0"/>
        <v>900</v>
      </c>
      <c r="P29" s="121">
        <f t="shared" si="1"/>
        <v>29</v>
      </c>
      <c r="Q29" s="71"/>
    </row>
    <row r="30" spans="1:17" outlineLevel="1">
      <c r="A30" s="33" t="s">
        <v>209</v>
      </c>
      <c r="B30" s="33" t="s">
        <v>290</v>
      </c>
      <c r="C30" s="103">
        <f ca="1">SUM(CAMP!BN30)</f>
        <v>0</v>
      </c>
      <c r="D30" s="103"/>
      <c r="E30" s="71"/>
      <c r="F30" s="129">
        <f ca="1">SUM(OLIVIER!AN30)</f>
        <v>0</v>
      </c>
      <c r="G30" s="129"/>
      <c r="H30" s="71"/>
      <c r="I30" s="109">
        <f ca="1">SUM(JEFF!AZ30)</f>
        <v>0</v>
      </c>
      <c r="J30" s="109"/>
      <c r="K30" s="71"/>
      <c r="L30" s="115">
        <f ca="1">SUM(CMO!T30)</f>
        <v>0</v>
      </c>
      <c r="M30" s="115">
        <v>-538</v>
      </c>
      <c r="N30" s="71"/>
      <c r="O30" s="121">
        <f t="shared" si="0"/>
        <v>0</v>
      </c>
      <c r="P30" s="121">
        <f t="shared" si="1"/>
        <v>-538</v>
      </c>
      <c r="Q30" s="71"/>
    </row>
    <row r="31" spans="1:17" outlineLevel="1">
      <c r="A31" s="33" t="s">
        <v>208</v>
      </c>
      <c r="B31" s="33" t="s">
        <v>291</v>
      </c>
      <c r="C31" s="103">
        <f ca="1">SUM(CAMP!BN31)</f>
        <v>0</v>
      </c>
      <c r="D31" s="103"/>
      <c r="E31" s="71"/>
      <c r="F31" s="129">
        <f ca="1">SUM(OLIVIER!AN31)</f>
        <v>0</v>
      </c>
      <c r="G31" s="129"/>
      <c r="H31" s="71"/>
      <c r="I31" s="109">
        <f ca="1">SUM(JEFF!AZ31)</f>
        <v>0</v>
      </c>
      <c r="J31" s="109"/>
      <c r="K31" s="71"/>
      <c r="L31" s="115">
        <f ca="1">SUM(CMO!T31)</f>
        <v>5400</v>
      </c>
      <c r="M31" s="115">
        <v>3562</v>
      </c>
      <c r="N31" s="71"/>
      <c r="O31" s="121">
        <f t="shared" si="0"/>
        <v>5400</v>
      </c>
      <c r="P31" s="121">
        <f t="shared" si="1"/>
        <v>3562</v>
      </c>
      <c r="Q31" s="71"/>
    </row>
    <row r="32" spans="1:17" outlineLevel="1">
      <c r="A32" s="33" t="s">
        <v>210</v>
      </c>
      <c r="B32" s="33" t="s">
        <v>211</v>
      </c>
      <c r="C32" s="103">
        <f ca="1">SUM(CAMP!BN32)</f>
        <v>0</v>
      </c>
      <c r="D32" s="103"/>
      <c r="E32" s="71"/>
      <c r="F32" s="129">
        <f ca="1">SUM(OLIVIER!AN32)</f>
        <v>0</v>
      </c>
      <c r="G32" s="129"/>
      <c r="H32" s="71"/>
      <c r="I32" s="109">
        <f ca="1">SUM(JEFF!AZ32)</f>
        <v>0</v>
      </c>
      <c r="J32" s="109"/>
      <c r="K32" s="71"/>
      <c r="L32" s="115">
        <f ca="1">SUM(CMO!T32)</f>
        <v>1674527.9227272728</v>
      </c>
      <c r="M32" s="115"/>
      <c r="N32" s="71"/>
      <c r="O32" s="121">
        <f t="shared" si="0"/>
        <v>1674527.9227272728</v>
      </c>
      <c r="P32" s="121">
        <f t="shared" si="1"/>
        <v>0</v>
      </c>
      <c r="Q32" s="71"/>
    </row>
    <row r="33" spans="1:17" outlineLevel="1">
      <c r="A33" s="33" t="s">
        <v>214</v>
      </c>
      <c r="B33" s="33" t="s">
        <v>215</v>
      </c>
      <c r="C33" s="103">
        <f ca="1">SUM(CAMP!BN33)</f>
        <v>15500</v>
      </c>
      <c r="D33" s="103">
        <v>34613</v>
      </c>
      <c r="E33" s="71"/>
      <c r="F33" s="129">
        <f ca="1">SUM(OLIVIER!AN33)</f>
        <v>12500</v>
      </c>
      <c r="G33" s="129">
        <v>7771</v>
      </c>
      <c r="H33" s="71"/>
      <c r="I33" s="109">
        <f ca="1">SUM(JEFF!AZ33)</f>
        <v>25000</v>
      </c>
      <c r="J33" s="109"/>
      <c r="K33" s="71"/>
      <c r="L33" s="115">
        <f ca="1">SUM(CMO!T33)</f>
        <v>50000</v>
      </c>
      <c r="M33" s="115">
        <v>37443</v>
      </c>
      <c r="N33" s="71"/>
      <c r="O33" s="121">
        <f t="shared" si="0"/>
        <v>103000</v>
      </c>
      <c r="P33" s="121">
        <f t="shared" si="1"/>
        <v>79827</v>
      </c>
      <c r="Q33" s="71"/>
    </row>
    <row r="34" spans="1:17" outlineLevel="1">
      <c r="A34" s="33" t="s">
        <v>213</v>
      </c>
      <c r="B34" s="33" t="s">
        <v>292</v>
      </c>
      <c r="C34" s="103">
        <f ca="1">SUM(CAMP!BN34)</f>
        <v>7200</v>
      </c>
      <c r="D34" s="103">
        <v>7250</v>
      </c>
      <c r="E34" s="71"/>
      <c r="F34" s="129">
        <f ca="1">SUM(OLIVIER!AN34)</f>
        <v>0</v>
      </c>
      <c r="G34" s="129"/>
      <c r="H34" s="71"/>
      <c r="I34" s="109">
        <f ca="1">SUM(JEFF!AZ34)</f>
        <v>0</v>
      </c>
      <c r="J34" s="109"/>
      <c r="K34" s="71"/>
      <c r="L34" s="115">
        <f ca="1">SUM(CMO!T34)</f>
        <v>0</v>
      </c>
      <c r="M34" s="115"/>
      <c r="N34" s="71"/>
      <c r="O34" s="121">
        <f t="shared" si="0"/>
        <v>7200</v>
      </c>
      <c r="P34" s="121">
        <f t="shared" si="1"/>
        <v>7250</v>
      </c>
      <c r="Q34" s="71"/>
    </row>
    <row r="35" spans="1:17" outlineLevel="1">
      <c r="A35" s="33" t="s">
        <v>212</v>
      </c>
      <c r="B35" s="33" t="s">
        <v>293</v>
      </c>
      <c r="C35" s="103">
        <f ca="1">SUM(CAMP!BN35)</f>
        <v>0</v>
      </c>
      <c r="D35" s="103">
        <v>4830</v>
      </c>
      <c r="E35" s="71"/>
      <c r="F35" s="129">
        <f ca="1">SUM(OLIVIER!AN35)</f>
        <v>0</v>
      </c>
      <c r="G35" s="129"/>
      <c r="H35" s="71"/>
      <c r="I35" s="109">
        <f ca="1">SUM(JEFF!AZ35)</f>
        <v>0</v>
      </c>
      <c r="J35" s="109"/>
      <c r="K35" s="71"/>
      <c r="L35" s="115">
        <f ca="1">SUM(CMO!T35)</f>
        <v>16000</v>
      </c>
      <c r="M35" s="115">
        <v>764</v>
      </c>
      <c r="N35" s="71"/>
      <c r="O35" s="121">
        <f t="shared" si="0"/>
        <v>16000</v>
      </c>
      <c r="P35" s="121">
        <f t="shared" si="1"/>
        <v>5594</v>
      </c>
      <c r="Q35" s="71"/>
    </row>
    <row r="36" spans="1:17" outlineLevel="1">
      <c r="A36" s="33" t="s">
        <v>216</v>
      </c>
      <c r="B36" s="33" t="s">
        <v>294</v>
      </c>
      <c r="C36" s="103">
        <f ca="1">SUM(CAMP!BN36)</f>
        <v>0</v>
      </c>
      <c r="D36" s="103"/>
      <c r="E36" s="71"/>
      <c r="F36" s="129">
        <f ca="1">SUM(OLIVIER!AN36)</f>
        <v>0</v>
      </c>
      <c r="G36" s="129"/>
      <c r="H36" s="71"/>
      <c r="I36" s="109">
        <f ca="1">SUM(JEFF!AZ36)</f>
        <v>0</v>
      </c>
      <c r="J36" s="109"/>
      <c r="K36" s="71"/>
      <c r="L36" s="115">
        <f ca="1">SUM(CMO!T36)</f>
        <v>0</v>
      </c>
      <c r="M36" s="115">
        <v>352</v>
      </c>
      <c r="N36" s="71"/>
      <c r="O36" s="121">
        <f t="shared" si="0"/>
        <v>0</v>
      </c>
      <c r="P36" s="121">
        <f t="shared" si="1"/>
        <v>352</v>
      </c>
      <c r="Q36" s="71"/>
    </row>
    <row r="37" spans="1:17" outlineLevel="1">
      <c r="A37" s="33" t="s">
        <v>217</v>
      </c>
      <c r="B37" s="33" t="s">
        <v>295</v>
      </c>
      <c r="C37" s="104">
        <f ca="1">SUM(CAMP!BN37)</f>
        <v>0</v>
      </c>
      <c r="D37" s="104">
        <v>170</v>
      </c>
      <c r="E37" s="71"/>
      <c r="F37" s="130">
        <f ca="1">SUM(OLIVIER!AN37)</f>
        <v>0</v>
      </c>
      <c r="G37" s="130">
        <v>500</v>
      </c>
      <c r="H37" s="71"/>
      <c r="I37" s="110">
        <f ca="1">SUM(JEFF!AZ37)</f>
        <v>0</v>
      </c>
      <c r="J37" s="110"/>
      <c r="K37" s="71"/>
      <c r="L37" s="116">
        <f ca="1">SUM(CMO!T37)</f>
        <v>0</v>
      </c>
      <c r="M37" s="116"/>
      <c r="N37" s="71"/>
      <c r="O37" s="122">
        <f t="shared" si="0"/>
        <v>0</v>
      </c>
      <c r="P37" s="122">
        <f t="shared" si="1"/>
        <v>670</v>
      </c>
      <c r="Q37" s="71"/>
    </row>
    <row r="38" spans="1:17">
      <c r="B38" s="33" t="s">
        <v>296</v>
      </c>
      <c r="C38" s="102">
        <f>+SUM(C13:C37)</f>
        <v>487068.18181818182</v>
      </c>
      <c r="D38" s="102">
        <f>+SUM(D13:D37)</f>
        <v>424336</v>
      </c>
      <c r="E38" s="71"/>
      <c r="F38" s="128">
        <f>+SUM(F13:F37)</f>
        <v>186063.63636363635</v>
      </c>
      <c r="G38" s="128">
        <f>+SUM(G13:G37)</f>
        <v>61863</v>
      </c>
      <c r="H38" s="71"/>
      <c r="I38" s="108">
        <f>+SUM(I13:I37)</f>
        <v>289050</v>
      </c>
      <c r="J38" s="108">
        <f>+SUM(J13:J37)</f>
        <v>0</v>
      </c>
      <c r="K38" s="71"/>
      <c r="L38" s="114">
        <f>+SUM(L13:L37)</f>
        <v>1855927.9227272728</v>
      </c>
      <c r="M38" s="114">
        <f>+SUM(M13:M37)</f>
        <v>80009</v>
      </c>
      <c r="N38" s="71"/>
      <c r="O38" s="120">
        <f>SUM(O13:O37)</f>
        <v>2818109.7409090912</v>
      </c>
      <c r="P38" s="120">
        <f>SUM(P13:P37)</f>
        <v>566208</v>
      </c>
      <c r="Q38" s="71"/>
    </row>
    <row r="39" spans="1:17" outlineLevel="1">
      <c r="C39" s="102"/>
      <c r="D39" s="102"/>
      <c r="E39" s="71"/>
      <c r="F39" s="128"/>
      <c r="G39" s="128"/>
      <c r="H39" s="71"/>
      <c r="I39" s="108"/>
      <c r="J39" s="108"/>
      <c r="K39" s="71"/>
      <c r="L39" s="114"/>
      <c r="M39" s="114"/>
      <c r="N39" s="71"/>
      <c r="O39" s="120"/>
      <c r="P39" s="120"/>
      <c r="Q39" s="71"/>
    </row>
    <row r="40" spans="1:17" outlineLevel="1">
      <c r="A40" s="33" t="s">
        <v>297</v>
      </c>
      <c r="C40" s="102"/>
      <c r="D40" s="102"/>
      <c r="E40" s="71"/>
      <c r="F40" s="128"/>
      <c r="G40" s="128"/>
      <c r="H40" s="71"/>
      <c r="I40" s="108"/>
      <c r="J40" s="108"/>
      <c r="K40" s="71"/>
      <c r="L40" s="114"/>
      <c r="M40" s="114"/>
      <c r="N40" s="71"/>
      <c r="O40" s="120"/>
      <c r="P40" s="120"/>
      <c r="Q40" s="71"/>
    </row>
    <row r="41" spans="1:17" outlineLevel="1">
      <c r="A41" s="33" t="s">
        <v>218</v>
      </c>
      <c r="B41" s="33" t="s">
        <v>298</v>
      </c>
      <c r="C41" s="103">
        <f ca="1">SUM(CAMP!BN41)</f>
        <v>5619115</v>
      </c>
      <c r="D41" s="103">
        <f>4361544-56000</f>
        <v>4305544</v>
      </c>
      <c r="E41" s="71"/>
      <c r="F41" s="129">
        <f ca="1">SUM(OLIVIER!AN41)</f>
        <v>1583971</v>
      </c>
      <c r="G41" s="129">
        <v>733402</v>
      </c>
      <c r="H41" s="71"/>
      <c r="I41" s="109">
        <f ca="1">SUM(JEFF!AZ41)</f>
        <v>2856705</v>
      </c>
      <c r="J41" s="109"/>
      <c r="K41" s="71"/>
      <c r="L41" s="115">
        <f ca="1">SUM(CMO!T41)</f>
        <v>0</v>
      </c>
      <c r="M41" s="115"/>
      <c r="N41" s="71"/>
      <c r="O41" s="121">
        <f t="shared" ref="O41:O48" si="2">SUM(C41+F41+I41+L41)</f>
        <v>10059791</v>
      </c>
      <c r="P41" s="121">
        <f t="shared" ref="P41:P48" si="3">SUM(D41+G41+J41+M41)</f>
        <v>5038946</v>
      </c>
      <c r="Q41" s="71"/>
    </row>
    <row r="42" spans="1:17" outlineLevel="1">
      <c r="A42" s="33" t="s">
        <v>219</v>
      </c>
      <c r="B42" s="33" t="s">
        <v>220</v>
      </c>
      <c r="C42" s="103">
        <f ca="1">SUM(CAMP!BN42)</f>
        <v>60000</v>
      </c>
      <c r="D42" s="103">
        <v>56000</v>
      </c>
      <c r="E42" s="71"/>
      <c r="F42" s="129">
        <f ca="1">SUM(OLIVIER!AN42)</f>
        <v>0</v>
      </c>
      <c r="G42" s="129"/>
      <c r="H42" s="71"/>
      <c r="I42" s="109">
        <f ca="1">SUM(JEFF!AZ42)</f>
        <v>36000</v>
      </c>
      <c r="J42" s="109"/>
      <c r="K42" s="71"/>
      <c r="L42" s="115">
        <f ca="1">SUM(CMO!T42)</f>
        <v>0</v>
      </c>
      <c r="M42" s="115"/>
      <c r="N42" s="71"/>
      <c r="O42" s="121">
        <f t="shared" si="2"/>
        <v>96000</v>
      </c>
      <c r="P42" s="121">
        <f t="shared" si="3"/>
        <v>56000</v>
      </c>
      <c r="Q42" s="71"/>
    </row>
    <row r="43" spans="1:17" outlineLevel="1">
      <c r="A43" s="33" t="s">
        <v>221</v>
      </c>
      <c r="B43" s="33" t="s">
        <v>222</v>
      </c>
      <c r="C43" s="103">
        <f ca="1">SUM(CAMP!BN43)</f>
        <v>0</v>
      </c>
      <c r="D43" s="103"/>
      <c r="E43" s="71"/>
      <c r="F43" s="129">
        <f ca="1">SUM(OLIVIER!AN43)</f>
        <v>0</v>
      </c>
      <c r="G43" s="129"/>
      <c r="H43" s="71"/>
      <c r="I43" s="109">
        <f ca="1">SUM(JEFF!AZ43)</f>
        <v>68702</v>
      </c>
      <c r="J43" s="109"/>
      <c r="K43" s="71"/>
      <c r="L43" s="115">
        <f ca="1">SUM(CMO!T43)</f>
        <v>0</v>
      </c>
      <c r="M43" s="115"/>
      <c r="N43" s="71"/>
      <c r="O43" s="121">
        <f t="shared" si="2"/>
        <v>68702</v>
      </c>
      <c r="P43" s="121">
        <f t="shared" si="3"/>
        <v>0</v>
      </c>
      <c r="Q43" s="71"/>
    </row>
    <row r="44" spans="1:17" outlineLevel="1">
      <c r="A44" s="33" t="s">
        <v>223</v>
      </c>
      <c r="B44" s="33" t="s">
        <v>299</v>
      </c>
      <c r="C44" s="103">
        <f ca="1">SUM(CAMP!BN44)</f>
        <v>0</v>
      </c>
      <c r="D44" s="103"/>
      <c r="E44" s="71"/>
      <c r="F44" s="129">
        <f ca="1">SUM(OLIVIER!AN44)</f>
        <v>0</v>
      </c>
      <c r="G44" s="129"/>
      <c r="H44" s="71"/>
      <c r="I44" s="109">
        <f ca="1">SUM(JEFF!AZ44)</f>
        <v>0</v>
      </c>
      <c r="J44" s="109"/>
      <c r="K44" s="71"/>
      <c r="L44" s="115">
        <f ca="1">SUM(CMO!T44)</f>
        <v>0</v>
      </c>
      <c r="M44" s="115"/>
      <c r="N44" s="71"/>
      <c r="O44" s="121">
        <f t="shared" si="2"/>
        <v>0</v>
      </c>
      <c r="P44" s="121">
        <f t="shared" si="3"/>
        <v>0</v>
      </c>
      <c r="Q44" s="71"/>
    </row>
    <row r="45" spans="1:17" outlineLevel="1">
      <c r="A45" s="33" t="s">
        <v>224</v>
      </c>
      <c r="B45" s="33" t="s">
        <v>225</v>
      </c>
      <c r="C45" s="103">
        <f ca="1">SUM(CAMP!BN45)</f>
        <v>0</v>
      </c>
      <c r="D45" s="103"/>
      <c r="E45" s="71"/>
      <c r="F45" s="129">
        <f ca="1">SUM(OLIVIER!AN45)</f>
        <v>0</v>
      </c>
      <c r="G45" s="129"/>
      <c r="H45" s="71"/>
      <c r="I45" s="109">
        <f ca="1">SUM(JEFF!AZ45)</f>
        <v>0</v>
      </c>
      <c r="J45" s="109"/>
      <c r="K45" s="71"/>
      <c r="L45" s="115">
        <f ca="1">SUM(CMO!T45)</f>
        <v>0</v>
      </c>
      <c r="M45" s="115"/>
      <c r="N45" s="71"/>
      <c r="O45" s="121">
        <f t="shared" si="2"/>
        <v>0</v>
      </c>
      <c r="P45" s="121">
        <f t="shared" si="3"/>
        <v>0</v>
      </c>
      <c r="Q45" s="71"/>
    </row>
    <row r="46" spans="1:17" outlineLevel="1">
      <c r="A46" s="33" t="s">
        <v>226</v>
      </c>
      <c r="B46" s="33" t="s">
        <v>227</v>
      </c>
      <c r="C46" s="103">
        <f ca="1">SUM(CAMP!BN46)</f>
        <v>0</v>
      </c>
      <c r="D46" s="103"/>
      <c r="E46" s="71"/>
      <c r="F46" s="129">
        <f ca="1">SUM(OLIVIER!AN46)</f>
        <v>0</v>
      </c>
      <c r="G46" s="129"/>
      <c r="H46" s="71"/>
      <c r="I46" s="109">
        <f ca="1">SUM(JEFF!AZ46)</f>
        <v>0</v>
      </c>
      <c r="J46" s="109"/>
      <c r="K46" s="71"/>
      <c r="L46" s="115">
        <f ca="1">SUM(CMO!T46)</f>
        <v>0</v>
      </c>
      <c r="M46" s="115"/>
      <c r="N46" s="71"/>
      <c r="O46" s="121">
        <f t="shared" si="2"/>
        <v>0</v>
      </c>
      <c r="P46" s="121">
        <f t="shared" si="3"/>
        <v>0</v>
      </c>
      <c r="Q46" s="71"/>
    </row>
    <row r="47" spans="1:17" outlineLevel="1">
      <c r="A47" s="33" t="s">
        <v>228</v>
      </c>
      <c r="B47" s="33" t="s">
        <v>300</v>
      </c>
      <c r="C47" s="103">
        <f ca="1">SUM(CAMP!BN47)</f>
        <v>0</v>
      </c>
      <c r="D47" s="103"/>
      <c r="E47" s="71"/>
      <c r="F47" s="129">
        <f ca="1">SUM(OLIVIER!AN47)</f>
        <v>0</v>
      </c>
      <c r="G47" s="129"/>
      <c r="H47" s="71"/>
      <c r="I47" s="109">
        <f ca="1">SUM(JEFF!AZ47)</f>
        <v>0</v>
      </c>
      <c r="J47" s="109"/>
      <c r="K47" s="71"/>
      <c r="L47" s="115">
        <f ca="1">SUM(CMO!T47)</f>
        <v>0</v>
      </c>
      <c r="M47" s="115"/>
      <c r="N47" s="71"/>
      <c r="O47" s="121">
        <f t="shared" si="2"/>
        <v>0</v>
      </c>
      <c r="P47" s="121">
        <f t="shared" si="3"/>
        <v>0</v>
      </c>
      <c r="Q47" s="71"/>
    </row>
    <row r="48" spans="1:17" outlineLevel="1">
      <c r="A48" s="33" t="s">
        <v>229</v>
      </c>
      <c r="B48" s="33" t="s">
        <v>301</v>
      </c>
      <c r="C48" s="104">
        <f ca="1">SUM(CAMP!BN48)</f>
        <v>0</v>
      </c>
      <c r="D48" s="104"/>
      <c r="E48" s="71"/>
      <c r="F48" s="130">
        <f ca="1">SUM(OLIVIER!AN48)</f>
        <v>0</v>
      </c>
      <c r="G48" s="130"/>
      <c r="H48" s="71"/>
      <c r="I48" s="110">
        <f ca="1">SUM(JEFF!AZ48)</f>
        <v>0</v>
      </c>
      <c r="J48" s="110"/>
      <c r="K48" s="71"/>
      <c r="L48" s="116">
        <f ca="1">SUM(CMO!T48)</f>
        <v>0</v>
      </c>
      <c r="M48" s="116"/>
      <c r="N48" s="71"/>
      <c r="O48" s="122">
        <f t="shared" si="2"/>
        <v>0</v>
      </c>
      <c r="P48" s="122">
        <f t="shared" si="3"/>
        <v>0</v>
      </c>
      <c r="Q48" s="71"/>
    </row>
    <row r="49" spans="1:17">
      <c r="B49" s="33" t="s">
        <v>302</v>
      </c>
      <c r="C49" s="102">
        <f>+SUM(C41:C48)</f>
        <v>5679115</v>
      </c>
      <c r="D49" s="102">
        <f>+SUM(D41:D48)</f>
        <v>4361544</v>
      </c>
      <c r="E49" s="135"/>
      <c r="F49" s="128">
        <f>+SUM(F41:F48)</f>
        <v>1583971</v>
      </c>
      <c r="G49" s="128">
        <f>+SUM(G41:G48)</f>
        <v>733402</v>
      </c>
      <c r="H49" s="135"/>
      <c r="I49" s="108">
        <f>+SUM(I41:I48)</f>
        <v>2961407</v>
      </c>
      <c r="J49" s="108">
        <f>+SUM(J41:J48)</f>
        <v>0</v>
      </c>
      <c r="K49" s="71"/>
      <c r="L49" s="114">
        <f>+SUM(L41:L48)</f>
        <v>0</v>
      </c>
      <c r="M49" s="114">
        <f>+SUM(M41:M48)</f>
        <v>0</v>
      </c>
      <c r="N49" s="71"/>
      <c r="O49" s="120">
        <f>SUM(O41:O48)</f>
        <v>10224493</v>
      </c>
      <c r="P49" s="120">
        <f>SUM(P41:P48)</f>
        <v>5094946</v>
      </c>
      <c r="Q49" s="71"/>
    </row>
    <row r="50" spans="1:17" outlineLevel="1">
      <c r="C50" s="102"/>
      <c r="D50" s="102"/>
      <c r="E50" s="71"/>
      <c r="F50" s="128"/>
      <c r="G50" s="128"/>
      <c r="H50" s="71"/>
      <c r="I50" s="108"/>
      <c r="J50" s="108"/>
      <c r="K50" s="71"/>
      <c r="L50" s="114"/>
      <c r="M50" s="114"/>
      <c r="N50" s="71"/>
      <c r="O50" s="120"/>
      <c r="P50" s="120"/>
      <c r="Q50" s="71"/>
    </row>
    <row r="51" spans="1:17" outlineLevel="1">
      <c r="A51" s="33" t="s">
        <v>303</v>
      </c>
      <c r="C51" s="102"/>
      <c r="D51" s="102"/>
      <c r="E51" s="71"/>
      <c r="F51" s="128"/>
      <c r="G51" s="128"/>
      <c r="H51" s="71"/>
      <c r="I51" s="108"/>
      <c r="J51" s="108"/>
      <c r="K51" s="71"/>
      <c r="L51" s="114"/>
      <c r="M51" s="114"/>
      <c r="N51" s="71"/>
      <c r="O51" s="120"/>
      <c r="P51" s="120"/>
      <c r="Q51" s="71"/>
    </row>
    <row r="52" spans="1:17" outlineLevel="1">
      <c r="A52" s="33" t="s">
        <v>304</v>
      </c>
      <c r="C52" s="102"/>
      <c r="D52" s="102"/>
      <c r="E52" s="71"/>
      <c r="F52" s="128"/>
      <c r="G52" s="128"/>
      <c r="H52" s="71"/>
      <c r="I52" s="108"/>
      <c r="J52" s="108"/>
      <c r="K52" s="71"/>
      <c r="L52" s="114"/>
      <c r="M52" s="114"/>
      <c r="N52" s="71"/>
      <c r="O52" s="120"/>
      <c r="P52" s="120"/>
      <c r="Q52" s="71"/>
    </row>
    <row r="53" spans="1:17" outlineLevel="1">
      <c r="A53" s="33" t="s">
        <v>230</v>
      </c>
      <c r="B53" s="33" t="s">
        <v>407</v>
      </c>
      <c r="C53" s="103">
        <f ca="1">SUM(CAMP!BN53)</f>
        <v>150000</v>
      </c>
      <c r="D53" s="103">
        <v>174611</v>
      </c>
      <c r="E53" s="71"/>
      <c r="F53" s="129">
        <f ca="1">SUM(OLIVIER!AN53)</f>
        <v>51015</v>
      </c>
      <c r="G53" s="129"/>
      <c r="H53" s="71"/>
      <c r="I53" s="109">
        <f ca="1">SUM(JEFF!AZ53)</f>
        <v>88065</v>
      </c>
      <c r="J53" s="109"/>
      <c r="K53" s="71"/>
      <c r="L53" s="115">
        <f ca="1">SUM(CMO!T53)</f>
        <v>0</v>
      </c>
      <c r="M53" s="115"/>
      <c r="N53" s="71"/>
      <c r="O53" s="121">
        <f t="shared" ref="O53:O65" si="4">SUM(C53+F53+I53+L53)</f>
        <v>289080</v>
      </c>
      <c r="P53" s="121">
        <f t="shared" ref="P53:P65" si="5">SUM(D53+G53+J53+M53)</f>
        <v>174611</v>
      </c>
      <c r="Q53" s="71"/>
    </row>
    <row r="54" spans="1:17" outlineLevel="1">
      <c r="A54" s="33" t="s">
        <v>231</v>
      </c>
      <c r="B54" s="33" t="s">
        <v>408</v>
      </c>
      <c r="C54" s="103">
        <f ca="1">SUM(CAMP!BN54)</f>
        <v>0</v>
      </c>
      <c r="D54" s="103"/>
      <c r="E54" s="71"/>
      <c r="F54" s="129">
        <f ca="1">SUM(OLIVIER!AN54)</f>
        <v>0</v>
      </c>
      <c r="G54" s="129"/>
      <c r="H54" s="71"/>
      <c r="I54" s="109">
        <f ca="1">SUM(JEFF!AZ54)</f>
        <v>0</v>
      </c>
      <c r="J54" s="109"/>
      <c r="K54" s="71"/>
      <c r="L54" s="115">
        <f ca="1">SUM(CMO!T54)</f>
        <v>0</v>
      </c>
      <c r="M54" s="115"/>
      <c r="N54" s="71"/>
      <c r="O54" s="121">
        <f t="shared" si="4"/>
        <v>0</v>
      </c>
      <c r="P54" s="121">
        <f t="shared" si="5"/>
        <v>0</v>
      </c>
      <c r="Q54" s="71"/>
    </row>
    <row r="55" spans="1:17" outlineLevel="1">
      <c r="A55" s="33" t="s">
        <v>232</v>
      </c>
      <c r="B55" s="33" t="s">
        <v>409</v>
      </c>
      <c r="C55" s="103">
        <f ca="1">SUM(CAMP!BN55)</f>
        <v>12000</v>
      </c>
      <c r="D55" s="103">
        <v>7924</v>
      </c>
      <c r="E55" s="71"/>
      <c r="F55" s="129">
        <f ca="1">SUM(OLIVIER!AN55)</f>
        <v>0</v>
      </c>
      <c r="G55" s="129"/>
      <c r="H55" s="71"/>
      <c r="I55" s="109">
        <f ca="1">SUM(JEFF!AZ55)</f>
        <v>7200</v>
      </c>
      <c r="J55" s="109"/>
      <c r="K55" s="71"/>
      <c r="L55" s="115">
        <f ca="1">SUM(CMO!T55)</f>
        <v>0</v>
      </c>
      <c r="M55" s="115"/>
      <c r="N55" s="71"/>
      <c r="O55" s="121">
        <f t="shared" si="4"/>
        <v>19200</v>
      </c>
      <c r="P55" s="121">
        <f t="shared" si="5"/>
        <v>7924</v>
      </c>
      <c r="Q55" s="71"/>
    </row>
    <row r="56" spans="1:17" outlineLevel="1">
      <c r="A56" s="33" t="s">
        <v>233</v>
      </c>
      <c r="B56" s="33" t="s">
        <v>305</v>
      </c>
      <c r="C56" s="103">
        <f ca="1">SUM(CAMP!BN56)</f>
        <v>0</v>
      </c>
      <c r="D56" s="103"/>
      <c r="E56" s="71"/>
      <c r="F56" s="129">
        <f ca="1">SUM(OLIVIER!AN56)</f>
        <v>0</v>
      </c>
      <c r="G56" s="129"/>
      <c r="H56" s="71"/>
      <c r="I56" s="109">
        <f ca="1">SUM(JEFF!AZ56)</f>
        <v>0</v>
      </c>
      <c r="J56" s="109"/>
      <c r="K56" s="71"/>
      <c r="L56" s="115">
        <f ca="1">SUM(CMO!T56)</f>
        <v>0</v>
      </c>
      <c r="M56" s="115"/>
      <c r="N56" s="71"/>
      <c r="O56" s="121">
        <f t="shared" si="4"/>
        <v>0</v>
      </c>
      <c r="P56" s="121">
        <f t="shared" si="5"/>
        <v>0</v>
      </c>
      <c r="Q56" s="71"/>
    </row>
    <row r="57" spans="1:17" outlineLevel="1">
      <c r="A57" s="33" t="s">
        <v>234</v>
      </c>
      <c r="B57" s="33" t="s">
        <v>306</v>
      </c>
      <c r="C57" s="103">
        <f ca="1">SUM(CAMP!BN57)</f>
        <v>206248</v>
      </c>
      <c r="D57" s="103">
        <v>173688</v>
      </c>
      <c r="E57" s="71"/>
      <c r="F57" s="129">
        <f ca="1">SUM(OLIVIER!AN57)</f>
        <v>58139.200000000004</v>
      </c>
      <c r="G57" s="129">
        <v>30651</v>
      </c>
      <c r="H57" s="71"/>
      <c r="I57" s="109">
        <f ca="1">SUM(JEFF!AZ57)</f>
        <v>100363.2</v>
      </c>
      <c r="J57" s="109"/>
      <c r="K57" s="71"/>
      <c r="L57" s="115">
        <f ca="1">SUM(CMO!T57)</f>
        <v>0</v>
      </c>
      <c r="M57" s="115">
        <f>204339-173688-30651</f>
        <v>0</v>
      </c>
      <c r="N57" s="71"/>
      <c r="O57" s="121">
        <f t="shared" si="4"/>
        <v>364750.4</v>
      </c>
      <c r="P57" s="121">
        <f t="shared" si="5"/>
        <v>204339</v>
      </c>
      <c r="Q57" s="71"/>
    </row>
    <row r="58" spans="1:17" outlineLevel="1">
      <c r="A58" s="33" t="s">
        <v>0</v>
      </c>
      <c r="B58" s="33" t="s">
        <v>307</v>
      </c>
      <c r="C58" s="103">
        <f ca="1">SUM(CAMP!BN58)</f>
        <v>21798.392</v>
      </c>
      <c r="D58" s="103"/>
      <c r="E58" s="71"/>
      <c r="F58" s="129">
        <f ca="1">SUM(OLIVIER!AN58)</f>
        <v>17377.136999999999</v>
      </c>
      <c r="G58" s="129"/>
      <c r="H58" s="71"/>
      <c r="I58" s="109">
        <f ca="1">SUM(JEFF!AZ58)</f>
        <v>18047.694</v>
      </c>
      <c r="J58" s="109"/>
      <c r="K58" s="71"/>
      <c r="L58" s="115">
        <f ca="1">SUM(CMO!T58)</f>
        <v>23523.054</v>
      </c>
      <c r="M58" s="115">
        <v>24535</v>
      </c>
      <c r="N58" s="71"/>
      <c r="O58" s="121">
        <f t="shared" si="4"/>
        <v>80746.277000000002</v>
      </c>
      <c r="P58" s="121">
        <f t="shared" si="5"/>
        <v>24535</v>
      </c>
      <c r="Q58" s="71"/>
    </row>
    <row r="59" spans="1:17" outlineLevel="1">
      <c r="A59" s="33" t="s">
        <v>1</v>
      </c>
      <c r="B59" s="33" t="s">
        <v>308</v>
      </c>
      <c r="C59" s="103">
        <f ca="1">SUM(CAMP!BN59)</f>
        <v>188152</v>
      </c>
      <c r="D59" s="103">
        <v>229195</v>
      </c>
      <c r="E59" s="71"/>
      <c r="F59" s="129">
        <f ca="1">SUM(OLIVIER!AN59)</f>
        <v>33598</v>
      </c>
      <c r="G59" s="129"/>
      <c r="H59" s="71"/>
      <c r="I59" s="109">
        <f ca="1">SUM(JEFF!AZ59)</f>
        <v>0</v>
      </c>
      <c r="J59" s="109"/>
      <c r="K59" s="71"/>
      <c r="L59" s="115">
        <f ca="1">SUM(CMO!T59)</f>
        <v>0</v>
      </c>
      <c r="M59" s="115"/>
      <c r="N59" s="71"/>
      <c r="O59" s="121">
        <f t="shared" si="4"/>
        <v>221750</v>
      </c>
      <c r="P59" s="121">
        <f t="shared" si="5"/>
        <v>229195</v>
      </c>
      <c r="Q59" s="71"/>
    </row>
    <row r="60" spans="1:17" outlineLevel="1">
      <c r="A60" s="33" t="s">
        <v>3</v>
      </c>
      <c r="B60" s="33" t="s">
        <v>2</v>
      </c>
      <c r="C60" s="103">
        <f ca="1">SUM(CAMP!BN60)</f>
        <v>0</v>
      </c>
      <c r="D60" s="103"/>
      <c r="E60" s="71"/>
      <c r="F60" s="129">
        <f ca="1">SUM(OLIVIER!AN60)</f>
        <v>0</v>
      </c>
      <c r="G60" s="129"/>
      <c r="H60" s="71"/>
      <c r="I60" s="109">
        <f ca="1">SUM(JEFF!AZ60)</f>
        <v>0</v>
      </c>
      <c r="J60" s="109"/>
      <c r="K60" s="71"/>
      <c r="L60" s="115">
        <f ca="1">SUM(CMO!T60)</f>
        <v>0</v>
      </c>
      <c r="M60" s="115"/>
      <c r="N60" s="71"/>
      <c r="O60" s="121">
        <f t="shared" si="4"/>
        <v>0</v>
      </c>
      <c r="P60" s="121">
        <f t="shared" si="5"/>
        <v>0</v>
      </c>
      <c r="Q60" s="71"/>
    </row>
    <row r="61" spans="1:17" outlineLevel="1">
      <c r="A61" s="33" t="s">
        <v>4</v>
      </c>
      <c r="B61" s="33" t="s">
        <v>5</v>
      </c>
      <c r="C61" s="103">
        <f ca="1">SUM(CAMP!BN61)</f>
        <v>125000</v>
      </c>
      <c r="D61" s="103">
        <v>31250</v>
      </c>
      <c r="E61" s="71"/>
      <c r="F61" s="129">
        <f ca="1">SUM(OLIVIER!AN61)</f>
        <v>462500</v>
      </c>
      <c r="G61" s="129">
        <v>476770</v>
      </c>
      <c r="H61" s="71"/>
      <c r="I61" s="109">
        <f ca="1">SUM(JEFF!AZ61)</f>
        <v>62500</v>
      </c>
      <c r="J61" s="109"/>
      <c r="K61" s="71"/>
      <c r="L61" s="115">
        <f ca="1">SUM(CMO!T61)</f>
        <v>0</v>
      </c>
      <c r="M61" s="115">
        <v>60001</v>
      </c>
      <c r="N61" s="71"/>
      <c r="O61" s="121">
        <f t="shared" si="4"/>
        <v>650000</v>
      </c>
      <c r="P61" s="121">
        <f t="shared" si="5"/>
        <v>568021</v>
      </c>
      <c r="Q61" s="71"/>
    </row>
    <row r="62" spans="1:17" outlineLevel="1">
      <c r="A62" s="33" t="s">
        <v>6</v>
      </c>
      <c r="B62" s="33" t="s">
        <v>7</v>
      </c>
      <c r="C62" s="103">
        <f ca="1">SUM(CAMP!BN62)</f>
        <v>0</v>
      </c>
      <c r="D62" s="103"/>
      <c r="E62" s="71"/>
      <c r="F62" s="129">
        <f ca="1">SUM(OLIVIER!AN62)</f>
        <v>0</v>
      </c>
      <c r="G62" s="129"/>
      <c r="H62" s="71"/>
      <c r="I62" s="109">
        <f ca="1">SUM(JEFF!AZ62)</f>
        <v>0</v>
      </c>
      <c r="J62" s="109"/>
      <c r="K62" s="71"/>
      <c r="L62" s="115">
        <f ca="1">SUM(CMO!T62)</f>
        <v>0</v>
      </c>
      <c r="M62" s="115"/>
      <c r="N62" s="71"/>
      <c r="O62" s="121">
        <f t="shared" si="4"/>
        <v>0</v>
      </c>
      <c r="P62" s="121">
        <f t="shared" si="5"/>
        <v>0</v>
      </c>
      <c r="Q62" s="71"/>
    </row>
    <row r="63" spans="1:17" outlineLevel="1">
      <c r="A63" s="33" t="s">
        <v>8</v>
      </c>
      <c r="B63" s="33" t="s">
        <v>9</v>
      </c>
      <c r="C63" s="103">
        <f ca="1">SUM(CAMP!BN63)</f>
        <v>0</v>
      </c>
      <c r="D63" s="103"/>
      <c r="E63" s="71"/>
      <c r="F63" s="129">
        <f ca="1">SUM(OLIVIER!AN63)</f>
        <v>0</v>
      </c>
      <c r="G63" s="129"/>
      <c r="H63" s="71"/>
      <c r="I63" s="109">
        <f ca="1">SUM(JEFF!AZ63)</f>
        <v>0</v>
      </c>
      <c r="J63" s="109"/>
      <c r="K63" s="71"/>
      <c r="L63" s="115">
        <f ca="1">SUM(CMO!T63)</f>
        <v>0</v>
      </c>
      <c r="M63" s="115"/>
      <c r="N63" s="71"/>
      <c r="O63" s="121">
        <f t="shared" si="4"/>
        <v>0</v>
      </c>
      <c r="P63" s="121">
        <f t="shared" si="5"/>
        <v>0</v>
      </c>
      <c r="Q63" s="71"/>
    </row>
    <row r="64" spans="1:17" outlineLevel="1">
      <c r="A64" s="33" t="s">
        <v>11</v>
      </c>
      <c r="B64" s="33" t="s">
        <v>310</v>
      </c>
      <c r="C64" s="103">
        <f ca="1">SUM(CAMP!BN64)</f>
        <v>0</v>
      </c>
      <c r="D64" s="103"/>
      <c r="E64" s="71"/>
      <c r="F64" s="129">
        <f ca="1">SUM(OLIVIER!AN64)</f>
        <v>0</v>
      </c>
      <c r="G64" s="129"/>
      <c r="H64" s="71"/>
      <c r="I64" s="109">
        <f ca="1">SUM(JEFF!AZ64)</f>
        <v>0</v>
      </c>
      <c r="J64" s="109"/>
      <c r="K64" s="71"/>
      <c r="L64" s="115">
        <f ca="1">SUM(CMO!T64)</f>
        <v>0</v>
      </c>
      <c r="M64" s="115"/>
      <c r="N64" s="71"/>
      <c r="O64" s="121">
        <f t="shared" si="4"/>
        <v>0</v>
      </c>
      <c r="P64" s="121">
        <f t="shared" si="5"/>
        <v>0</v>
      </c>
      <c r="Q64" s="71"/>
    </row>
    <row r="65" spans="1:17" outlineLevel="1">
      <c r="A65" s="33" t="s">
        <v>10</v>
      </c>
      <c r="B65" s="33" t="s">
        <v>309</v>
      </c>
      <c r="C65" s="104">
        <f ca="1">SUM(CAMP!BN65)</f>
        <v>0</v>
      </c>
      <c r="D65" s="104"/>
      <c r="E65" s="71"/>
      <c r="F65" s="130">
        <f ca="1">SUM(OLIVIER!AN65)</f>
        <v>0</v>
      </c>
      <c r="G65" s="130"/>
      <c r="H65" s="71"/>
      <c r="I65" s="110">
        <f ca="1">SUM(JEFF!AZ65)</f>
        <v>0</v>
      </c>
      <c r="J65" s="110"/>
      <c r="K65" s="71"/>
      <c r="L65" s="116">
        <f ca="1">SUM(CMO!T65)</f>
        <v>0</v>
      </c>
      <c r="M65" s="116"/>
      <c r="N65" s="71"/>
      <c r="O65" s="122">
        <f t="shared" si="4"/>
        <v>0</v>
      </c>
      <c r="P65" s="122">
        <f t="shared" si="5"/>
        <v>0</v>
      </c>
      <c r="Q65" s="71"/>
    </row>
    <row r="66" spans="1:17">
      <c r="B66" s="33" t="s">
        <v>311</v>
      </c>
      <c r="C66" s="102">
        <f>+SUM(C53:C65)</f>
        <v>703198.39199999999</v>
      </c>
      <c r="D66" s="102">
        <f>+SUM(D53:D65)</f>
        <v>616668</v>
      </c>
      <c r="E66" s="71"/>
      <c r="F66" s="128">
        <f>+SUM(F53:F65)</f>
        <v>622629.33700000006</v>
      </c>
      <c r="G66" s="128">
        <f>+SUM(G53:G65)</f>
        <v>507421</v>
      </c>
      <c r="H66" s="71"/>
      <c r="I66" s="108">
        <f>+SUM(I53:I65)</f>
        <v>276175.89399999997</v>
      </c>
      <c r="J66" s="108">
        <f>+SUM(J53:J65)</f>
        <v>0</v>
      </c>
      <c r="K66" s="71"/>
      <c r="L66" s="114">
        <f>+SUM(L53:L65)</f>
        <v>23523.054</v>
      </c>
      <c r="M66" s="114">
        <f>+SUM(M53:M65)</f>
        <v>84536</v>
      </c>
      <c r="N66" s="71"/>
      <c r="O66" s="120">
        <f>SUM(O53:O65)</f>
        <v>1625526.6770000001</v>
      </c>
      <c r="P66" s="120">
        <f>SUM(P53:P65)</f>
        <v>1208625</v>
      </c>
      <c r="Q66" s="71"/>
    </row>
    <row r="67" spans="1:17">
      <c r="C67" s="102"/>
      <c r="D67" s="102"/>
      <c r="E67" s="71"/>
      <c r="F67" s="128"/>
      <c r="G67" s="128"/>
      <c r="H67" s="71"/>
      <c r="I67" s="108"/>
      <c r="J67" s="108"/>
      <c r="K67" s="71"/>
      <c r="L67" s="114"/>
      <c r="M67" s="114"/>
      <c r="N67" s="71"/>
      <c r="O67" s="120"/>
      <c r="P67" s="120"/>
      <c r="Q67" s="71"/>
    </row>
    <row r="68" spans="1:17" s="32" customFormat="1" ht="10.5">
      <c r="A68" s="37"/>
      <c r="B68" s="37" t="s">
        <v>312</v>
      </c>
      <c r="C68" s="102">
        <f>+C66+C49+C38</f>
        <v>6869381.5738181816</v>
      </c>
      <c r="D68" s="102">
        <f>+D66+D49+D38</f>
        <v>5402548</v>
      </c>
      <c r="E68" s="67"/>
      <c r="F68" s="128">
        <f>+F66+F49+F38</f>
        <v>2392663.9733636365</v>
      </c>
      <c r="G68" s="128">
        <f>+G66+G49+G38</f>
        <v>1302686</v>
      </c>
      <c r="H68" s="67"/>
      <c r="I68" s="108">
        <f>+I66+I49+I38</f>
        <v>3526632.8939999999</v>
      </c>
      <c r="J68" s="108">
        <f>+J66+J49+J38</f>
        <v>0</v>
      </c>
      <c r="K68" s="67"/>
      <c r="L68" s="114">
        <f>+L66+L49+L38</f>
        <v>1879450.9767272728</v>
      </c>
      <c r="M68" s="114">
        <f>+M66+M49+M38</f>
        <v>164545</v>
      </c>
      <c r="N68" s="67"/>
      <c r="O68" s="120">
        <f>SUM(O38+O49+O66)</f>
        <v>14668129.417909093</v>
      </c>
      <c r="P68" s="120">
        <f>SUM(P38+P49+P66)</f>
        <v>6869779</v>
      </c>
      <c r="Q68" s="67"/>
    </row>
    <row r="69" spans="1:17">
      <c r="C69" s="102"/>
      <c r="D69" s="102"/>
      <c r="E69" s="71"/>
      <c r="F69" s="128"/>
      <c r="G69" s="128"/>
      <c r="H69" s="71"/>
      <c r="I69" s="108"/>
      <c r="J69" s="108"/>
      <c r="K69" s="71"/>
      <c r="L69" s="114"/>
      <c r="M69" s="114"/>
      <c r="N69" s="71"/>
      <c r="O69" s="120"/>
      <c r="P69" s="120"/>
      <c r="Q69" s="71"/>
    </row>
    <row r="70" spans="1:17">
      <c r="A70" s="33" t="s">
        <v>313</v>
      </c>
      <c r="C70" s="102"/>
      <c r="D70" s="102"/>
      <c r="E70" s="71"/>
      <c r="F70" s="128"/>
      <c r="G70" s="128"/>
      <c r="H70" s="71"/>
      <c r="I70" s="108"/>
      <c r="J70" s="108"/>
      <c r="K70" s="71"/>
      <c r="L70" s="114"/>
      <c r="M70" s="114"/>
      <c r="N70" s="71"/>
      <c r="O70" s="120"/>
      <c r="P70" s="120"/>
      <c r="Q70" s="71"/>
    </row>
    <row r="71" spans="1:17" outlineLevel="1">
      <c r="A71" s="33" t="s">
        <v>314</v>
      </c>
      <c r="C71" s="102"/>
      <c r="D71" s="102"/>
      <c r="E71" s="71"/>
      <c r="F71" s="128"/>
      <c r="G71" s="128"/>
      <c r="H71" s="71"/>
      <c r="I71" s="108"/>
      <c r="J71" s="108"/>
      <c r="K71" s="71"/>
      <c r="L71" s="114"/>
      <c r="M71" s="114"/>
      <c r="N71" s="71"/>
      <c r="O71" s="120"/>
      <c r="P71" s="120"/>
      <c r="Q71" s="71"/>
    </row>
    <row r="72" spans="1:17" outlineLevel="1">
      <c r="A72" s="33" t="s">
        <v>19</v>
      </c>
      <c r="B72" s="33" t="s">
        <v>323</v>
      </c>
      <c r="C72" s="103">
        <f ca="1">SUM(CAMP!BN72)</f>
        <v>241332.37415931316</v>
      </c>
      <c r="D72" s="103">
        <v>100184</v>
      </c>
      <c r="E72" s="71"/>
      <c r="F72" s="129">
        <f ca="1">SUM(OLIVIER!AN72)</f>
        <v>87240.34618279172</v>
      </c>
      <c r="G72" s="129">
        <v>71511</v>
      </c>
      <c r="H72" s="71"/>
      <c r="I72" s="109">
        <f ca="1">SUM(JEFF!AZ72)</f>
        <v>166454.78578534193</v>
      </c>
      <c r="J72" s="109">
        <v>7022</v>
      </c>
      <c r="K72" s="71"/>
      <c r="L72" s="115">
        <f ca="1">SUM(CMO!T72)</f>
        <v>494347.40798403893</v>
      </c>
      <c r="M72" s="115">
        <v>505829</v>
      </c>
      <c r="N72" s="71"/>
      <c r="O72" s="121">
        <f t="shared" ref="O72:O79" si="6">SUM(C72+F72+I72+L72)</f>
        <v>989374.9141114857</v>
      </c>
      <c r="P72" s="121">
        <f t="shared" ref="P72:P79" si="7">SUM(D72+G72+J72+M72)</f>
        <v>684546</v>
      </c>
      <c r="Q72" s="71"/>
    </row>
    <row r="73" spans="1:17" outlineLevel="1">
      <c r="A73" s="33" t="s">
        <v>12</v>
      </c>
      <c r="B73" s="33" t="s">
        <v>315</v>
      </c>
      <c r="C73" s="103">
        <f ca="1">SUM(CAMP!BN73)</f>
        <v>2214064.2978345053</v>
      </c>
      <c r="D73" s="103">
        <v>2006966</v>
      </c>
      <c r="E73" s="71"/>
      <c r="F73" s="129">
        <f ca="1">SUM(OLIVIER!AN73)</f>
        <v>500754.92182826868</v>
      </c>
      <c r="G73" s="129">
        <v>159312</v>
      </c>
      <c r="H73" s="71"/>
      <c r="I73" s="109">
        <f ca="1">SUM(JEFF!AZ73)</f>
        <v>818122.42768749991</v>
      </c>
      <c r="J73" s="109"/>
      <c r="K73" s="71"/>
      <c r="L73" s="115">
        <f ca="1">SUM(CMO!T73)</f>
        <v>1000</v>
      </c>
      <c r="M73" s="115">
        <v>8608</v>
      </c>
      <c r="N73" s="71"/>
      <c r="O73" s="121">
        <f t="shared" si="6"/>
        <v>3533941.647350274</v>
      </c>
      <c r="P73" s="121">
        <f t="shared" si="7"/>
        <v>2174886</v>
      </c>
      <c r="Q73" s="71"/>
    </row>
    <row r="74" spans="1:17" outlineLevel="1">
      <c r="A74" s="33" t="s">
        <v>13</v>
      </c>
      <c r="B74" s="33" t="s">
        <v>316</v>
      </c>
      <c r="C74" s="103">
        <f ca="1">SUM(CAMP!BN74)</f>
        <v>468199.5264673772</v>
      </c>
      <c r="D74" s="103">
        <v>420479</v>
      </c>
      <c r="E74" s="71"/>
      <c r="F74" s="129">
        <f ca="1">SUM(OLIVIER!AN74)</f>
        <v>151004.38121999998</v>
      </c>
      <c r="G74" s="129">
        <v>65908</v>
      </c>
      <c r="H74" s="71"/>
      <c r="I74" s="109">
        <f ca="1">SUM(JEFF!AZ74)</f>
        <v>112486.1661</v>
      </c>
      <c r="J74" s="109"/>
      <c r="K74" s="71"/>
      <c r="L74" s="115">
        <f ca="1">SUM(CMO!T74)</f>
        <v>0</v>
      </c>
      <c r="M74" s="115"/>
      <c r="N74" s="71"/>
      <c r="O74" s="121">
        <f t="shared" si="6"/>
        <v>731690.07378737722</v>
      </c>
      <c r="P74" s="121">
        <f t="shared" si="7"/>
        <v>486387</v>
      </c>
      <c r="Q74" s="71"/>
    </row>
    <row r="75" spans="1:17" outlineLevel="1">
      <c r="A75" s="33" t="s">
        <v>14</v>
      </c>
      <c r="B75" s="33" t="s">
        <v>317</v>
      </c>
      <c r="C75" s="103">
        <f ca="1">SUM(CAMP!BN75)</f>
        <v>98112.381398802027</v>
      </c>
      <c r="D75" s="103"/>
      <c r="E75" s="71"/>
      <c r="F75" s="129">
        <f ca="1">SUM(OLIVIER!AN75)</f>
        <v>49056.190699401013</v>
      </c>
      <c r="G75" s="129"/>
      <c r="H75" s="71"/>
      <c r="I75" s="109">
        <f ca="1">SUM(JEFF!AZ75)</f>
        <v>49056.190699401013</v>
      </c>
      <c r="J75" s="109"/>
      <c r="K75" s="71"/>
      <c r="L75" s="115">
        <f ca="1">SUM(CMO!T75)</f>
        <v>0</v>
      </c>
      <c r="M75" s="115">
        <v>101070</v>
      </c>
      <c r="N75" s="71"/>
      <c r="O75" s="121">
        <f t="shared" si="6"/>
        <v>196224.76279760405</v>
      </c>
      <c r="P75" s="121">
        <f t="shared" si="7"/>
        <v>101070</v>
      </c>
      <c r="Q75" s="71"/>
    </row>
    <row r="76" spans="1:17" outlineLevel="1">
      <c r="A76" s="33" t="s">
        <v>15</v>
      </c>
      <c r="B76" s="33" t="s">
        <v>318</v>
      </c>
      <c r="C76" s="103">
        <f ca="1">SUM(CAMP!BN76)</f>
        <v>70208.190887364064</v>
      </c>
      <c r="D76" s="103"/>
      <c r="E76" s="71"/>
      <c r="F76" s="129">
        <f ca="1">SUM(OLIVIER!AN76)</f>
        <v>37284.689977440328</v>
      </c>
      <c r="G76" s="129"/>
      <c r="H76" s="71"/>
      <c r="I76" s="109">
        <f ca="1">SUM(JEFF!AZ76)</f>
        <v>37284.689977440328</v>
      </c>
      <c r="J76" s="109"/>
      <c r="K76" s="71"/>
      <c r="L76" s="115">
        <f ca="1">SUM(CMO!T76)</f>
        <v>99496.171843338612</v>
      </c>
      <c r="M76" s="115">
        <v>85079</v>
      </c>
      <c r="N76" s="71"/>
      <c r="O76" s="121">
        <f t="shared" si="6"/>
        <v>244273.74268558333</v>
      </c>
      <c r="P76" s="121">
        <f t="shared" si="7"/>
        <v>85079</v>
      </c>
      <c r="Q76" s="71"/>
    </row>
    <row r="77" spans="1:17" outlineLevel="1">
      <c r="A77" s="33" t="s">
        <v>16</v>
      </c>
      <c r="B77" s="33" t="s">
        <v>319</v>
      </c>
      <c r="C77" s="103">
        <f ca="1">SUM(CAMP!BN77)</f>
        <v>74810.102000000014</v>
      </c>
      <c r="D77" s="103">
        <v>45618</v>
      </c>
      <c r="E77" s="71"/>
      <c r="F77" s="129">
        <f ca="1">SUM(OLIVIER!AN77)</f>
        <v>34889.634935594018</v>
      </c>
      <c r="G77" s="129">
        <v>35847</v>
      </c>
      <c r="H77" s="71"/>
      <c r="I77" s="109">
        <f ca="1">SUM(JEFF!AZ77)</f>
        <v>29933.2935</v>
      </c>
      <c r="J77" s="109"/>
      <c r="K77" s="71"/>
      <c r="L77" s="115">
        <f ca="1">SUM(CMO!T77)</f>
        <v>264031.76209236897</v>
      </c>
      <c r="M77" s="115">
        <v>130625</v>
      </c>
      <c r="N77" s="71"/>
      <c r="O77" s="121">
        <f t="shared" si="6"/>
        <v>403664.792527963</v>
      </c>
      <c r="P77" s="121">
        <f t="shared" si="7"/>
        <v>212090</v>
      </c>
      <c r="Q77" s="71"/>
    </row>
    <row r="78" spans="1:17" outlineLevel="1">
      <c r="A78" s="33" t="s">
        <v>17</v>
      </c>
      <c r="B78" s="33" t="s">
        <v>320</v>
      </c>
      <c r="C78" s="103">
        <f ca="1">SUM(CAMP!BN78)</f>
        <v>162203.11249999999</v>
      </c>
      <c r="D78" s="103">
        <f>73481+94872</f>
        <v>168353</v>
      </c>
      <c r="E78" s="71"/>
      <c r="F78" s="129">
        <f ca="1">SUM(OLIVIER!AN78)</f>
        <v>59159.286000000007</v>
      </c>
      <c r="G78" s="129">
        <f>10914+16742</f>
        <v>27656</v>
      </c>
      <c r="H78" s="71"/>
      <c r="I78" s="109">
        <f ca="1">SUM(JEFF!AZ78)</f>
        <v>50627.720369160008</v>
      </c>
      <c r="J78" s="109"/>
      <c r="K78" s="71"/>
      <c r="L78" s="115">
        <f ca="1">SUM(CMO!T78)</f>
        <v>0</v>
      </c>
      <c r="M78" s="115">
        <f>111614-16742-94872</f>
        <v>0</v>
      </c>
      <c r="N78" s="71"/>
      <c r="O78" s="121">
        <f t="shared" si="6"/>
        <v>271990.11886916001</v>
      </c>
      <c r="P78" s="121">
        <f t="shared" si="7"/>
        <v>196009</v>
      </c>
      <c r="Q78" s="71"/>
    </row>
    <row r="79" spans="1:17" ht="14.25" customHeight="1" outlineLevel="1">
      <c r="A79" s="33" t="s">
        <v>18</v>
      </c>
      <c r="B79" s="33" t="s">
        <v>322</v>
      </c>
      <c r="C79" s="104">
        <f ca="1">SUM(CAMP!BN79)</f>
        <v>57566.288</v>
      </c>
      <c r="D79" s="104">
        <v>54533</v>
      </c>
      <c r="E79" s="71"/>
      <c r="F79" s="130">
        <f ca="1">SUM(OLIVIER!AN79)</f>
        <v>27058.512000000002</v>
      </c>
      <c r="G79" s="130">
        <v>16885</v>
      </c>
      <c r="H79" s="71"/>
      <c r="I79" s="110">
        <f ca="1">SUM(JEFF!AZ79)</f>
        <v>18217.507453200004</v>
      </c>
      <c r="J79" s="110"/>
      <c r="K79" s="71"/>
      <c r="L79" s="116">
        <f ca="1">SUM(CMO!T79)</f>
        <v>0</v>
      </c>
      <c r="M79" s="116"/>
      <c r="N79" s="71"/>
      <c r="O79" s="122">
        <f t="shared" si="6"/>
        <v>102842.3074532</v>
      </c>
      <c r="P79" s="122">
        <f t="shared" si="7"/>
        <v>71418</v>
      </c>
      <c r="Q79" s="71"/>
    </row>
    <row r="80" spans="1:17">
      <c r="B80" s="33" t="s">
        <v>24</v>
      </c>
      <c r="C80" s="102">
        <f>+SUM(C72:C79)</f>
        <v>3386496.2732473621</v>
      </c>
      <c r="D80" s="102">
        <f>+SUM(D72:D79)</f>
        <v>2796133</v>
      </c>
      <c r="E80" s="71"/>
      <c r="F80" s="128">
        <f>+SUM(F72:F79)</f>
        <v>946447.96284349565</v>
      </c>
      <c r="G80" s="128">
        <f>+SUM(G72:G79)</f>
        <v>377119</v>
      </c>
      <c r="H80" s="71"/>
      <c r="I80" s="108">
        <f>+SUM(I72:I79)</f>
        <v>1282182.781572043</v>
      </c>
      <c r="J80" s="108">
        <f>+SUM(J72:J79)</f>
        <v>7022</v>
      </c>
      <c r="K80" s="71"/>
      <c r="L80" s="114">
        <f>+SUM(L72:L79)</f>
        <v>858875.34191974648</v>
      </c>
      <c r="M80" s="114">
        <f>+SUM(M72:M79)</f>
        <v>831211</v>
      </c>
      <c r="N80" s="71"/>
      <c r="O80" s="120">
        <f>SUM(O72:O79)</f>
        <v>6474002.3595826486</v>
      </c>
      <c r="P80" s="120">
        <f>SUM(P72:P79)</f>
        <v>4011485</v>
      </c>
      <c r="Q80" s="71"/>
    </row>
    <row r="81" spans="1:17" outlineLevel="1">
      <c r="C81" s="102"/>
      <c r="D81" s="102"/>
      <c r="E81" s="71"/>
      <c r="F81" s="128"/>
      <c r="G81" s="128"/>
      <c r="H81" s="71"/>
      <c r="I81" s="108"/>
      <c r="J81" s="108"/>
      <c r="K81" s="71"/>
      <c r="L81" s="114"/>
      <c r="M81" s="114"/>
      <c r="N81" s="71"/>
      <c r="O81" s="120"/>
      <c r="P81" s="120"/>
      <c r="Q81" s="71"/>
    </row>
    <row r="82" spans="1:17" outlineLevel="1">
      <c r="C82" s="102"/>
      <c r="D82" s="102"/>
      <c r="E82" s="71"/>
      <c r="F82" s="128"/>
      <c r="G82" s="128"/>
      <c r="H82" s="71"/>
      <c r="I82" s="108"/>
      <c r="J82" s="108"/>
      <c r="K82" s="71"/>
      <c r="L82" s="114"/>
      <c r="M82" s="114"/>
      <c r="N82" s="71"/>
      <c r="O82" s="120"/>
      <c r="P82" s="120"/>
      <c r="Q82" s="71"/>
    </row>
    <row r="83" spans="1:17" outlineLevel="1">
      <c r="A83" s="38" t="s">
        <v>325</v>
      </c>
      <c r="C83" s="102"/>
      <c r="D83" s="102"/>
      <c r="E83" s="71"/>
      <c r="F83" s="128"/>
      <c r="G83" s="128"/>
      <c r="H83" s="71"/>
      <c r="I83" s="108"/>
      <c r="J83" s="108"/>
      <c r="K83" s="71"/>
      <c r="L83" s="114"/>
      <c r="M83" s="114"/>
      <c r="N83" s="71"/>
      <c r="O83" s="120"/>
      <c r="P83" s="120"/>
      <c r="Q83" s="71"/>
    </row>
    <row r="84" spans="1:17" outlineLevel="1">
      <c r="A84" s="33" t="s">
        <v>20</v>
      </c>
      <c r="B84" s="33" t="s">
        <v>324</v>
      </c>
      <c r="C84" s="103">
        <f ca="1">SUM(CAMP!BN84)</f>
        <v>33320</v>
      </c>
      <c r="D84" s="103">
        <v>19439</v>
      </c>
      <c r="E84" s="71"/>
      <c r="F84" s="129">
        <f ca="1">SUM(OLIVIER!AN84)</f>
        <v>4340</v>
      </c>
      <c r="G84" s="129">
        <v>1161</v>
      </c>
      <c r="H84" s="71"/>
      <c r="I84" s="109">
        <f ca="1">SUM(JEFF!AZ84)</f>
        <v>15655.5</v>
      </c>
      <c r="J84" s="109"/>
      <c r="K84" s="71"/>
      <c r="L84" s="115">
        <f ca="1">SUM(CMO!T84)</f>
        <v>0</v>
      </c>
      <c r="M84" s="115">
        <v>2085</v>
      </c>
      <c r="N84" s="71"/>
      <c r="O84" s="121">
        <f t="shared" ref="O84:P87" si="8">SUM(C84+F84+I84+L84)</f>
        <v>53315.5</v>
      </c>
      <c r="P84" s="121">
        <f t="shared" si="8"/>
        <v>22685</v>
      </c>
      <c r="Q84" s="71"/>
    </row>
    <row r="85" spans="1:17" outlineLevel="1">
      <c r="A85" s="33" t="s">
        <v>21</v>
      </c>
      <c r="B85" s="33" t="s">
        <v>325</v>
      </c>
      <c r="C85" s="103">
        <f ca="1">SUM(CAMP!BN85)</f>
        <v>10000</v>
      </c>
      <c r="D85" s="103">
        <v>325</v>
      </c>
      <c r="E85" s="71"/>
      <c r="F85" s="129">
        <f ca="1">SUM(OLIVIER!AN85)</f>
        <v>24000</v>
      </c>
      <c r="G85" s="129"/>
      <c r="H85" s="71"/>
      <c r="I85" s="109">
        <f ca="1">SUM(JEFF!AZ85)</f>
        <v>4000</v>
      </c>
      <c r="J85" s="109"/>
      <c r="K85" s="71"/>
      <c r="L85" s="115">
        <f ca="1">SUM(CMO!T85)</f>
        <v>0</v>
      </c>
      <c r="M85" s="115">
        <v>2750</v>
      </c>
      <c r="N85" s="71"/>
      <c r="O85" s="121">
        <f t="shared" si="8"/>
        <v>38000</v>
      </c>
      <c r="P85" s="121">
        <f t="shared" si="8"/>
        <v>3075</v>
      </c>
      <c r="Q85" s="71"/>
    </row>
    <row r="86" spans="1:17" outlineLevel="1">
      <c r="A86" s="33" t="s">
        <v>440</v>
      </c>
      <c r="B86" s="33" t="s">
        <v>441</v>
      </c>
      <c r="C86" s="103">
        <f ca="1">SUM(CAMP!BN86)</f>
        <v>0</v>
      </c>
      <c r="D86" s="103">
        <v>93315</v>
      </c>
      <c r="E86" s="71"/>
      <c r="F86" s="129">
        <f ca="1">SUM(OLIVIER!AN86)</f>
        <v>0</v>
      </c>
      <c r="G86" s="129">
        <v>5313</v>
      </c>
      <c r="H86" s="71"/>
      <c r="I86" s="109">
        <f ca="1">SUM(JEFF!AZ86)</f>
        <v>0</v>
      </c>
      <c r="J86" s="109"/>
      <c r="K86" s="71"/>
      <c r="L86" s="115">
        <f ca="1">SUM(CMO!T86)</f>
        <v>17000</v>
      </c>
      <c r="M86" s="115">
        <v>15134</v>
      </c>
      <c r="N86" s="71"/>
      <c r="O86" s="121">
        <f t="shared" si="8"/>
        <v>17000</v>
      </c>
      <c r="P86" s="121">
        <f t="shared" si="8"/>
        <v>113762</v>
      </c>
      <c r="Q86" s="71"/>
    </row>
    <row r="87" spans="1:17" outlineLevel="1">
      <c r="A87" s="33" t="s">
        <v>22</v>
      </c>
      <c r="B87" s="33" t="s">
        <v>23</v>
      </c>
      <c r="C87" s="104">
        <f ca="1">SUM(CAMP!BN87)</f>
        <v>64000</v>
      </c>
      <c r="D87" s="104"/>
      <c r="E87" s="71"/>
      <c r="F87" s="130">
        <f ca="1">SUM(OLIVIER!AN87)</f>
        <v>0</v>
      </c>
      <c r="G87" s="130"/>
      <c r="H87" s="71"/>
      <c r="I87" s="110">
        <f ca="1">SUM(JEFF!AZ87)</f>
        <v>36000</v>
      </c>
      <c r="J87" s="110"/>
      <c r="K87" s="71"/>
      <c r="L87" s="116">
        <f ca="1">SUM(CMO!T87)</f>
        <v>0</v>
      </c>
      <c r="M87" s="116"/>
      <c r="N87" s="71"/>
      <c r="O87" s="122">
        <f t="shared" si="8"/>
        <v>100000</v>
      </c>
      <c r="P87" s="122">
        <f t="shared" si="8"/>
        <v>0</v>
      </c>
      <c r="Q87" s="71"/>
    </row>
    <row r="88" spans="1:17">
      <c r="B88" s="33" t="s">
        <v>326</v>
      </c>
      <c r="C88" s="102">
        <f>+SUM(C84:C87)</f>
        <v>107320</v>
      </c>
      <c r="D88" s="102">
        <f>+SUM(D84:D87)</f>
        <v>113079</v>
      </c>
      <c r="E88" s="71"/>
      <c r="F88" s="128">
        <f>+SUM(F84:F87)</f>
        <v>28340</v>
      </c>
      <c r="G88" s="128">
        <f>+SUM(G84:G87)</f>
        <v>6474</v>
      </c>
      <c r="H88" s="71"/>
      <c r="I88" s="108">
        <f>+SUM(I84:I87)</f>
        <v>55655.5</v>
      </c>
      <c r="J88" s="108">
        <f>+SUM(J84:J87)</f>
        <v>0</v>
      </c>
      <c r="K88" s="71"/>
      <c r="L88" s="114">
        <f>+SUM(L84:L87)</f>
        <v>17000</v>
      </c>
      <c r="M88" s="114">
        <f>+SUM(M84:M87)</f>
        <v>19969</v>
      </c>
      <c r="N88" s="71"/>
      <c r="O88" s="120">
        <f>SUM(O84:O87)</f>
        <v>208315.5</v>
      </c>
      <c r="P88" s="120">
        <f>SUM(P84:P87)</f>
        <v>139522</v>
      </c>
      <c r="Q88" s="71"/>
    </row>
    <row r="89" spans="1:17">
      <c r="C89" s="102"/>
      <c r="D89" s="102"/>
      <c r="E89" s="71"/>
      <c r="F89" s="128"/>
      <c r="G89" s="128"/>
      <c r="H89" s="71"/>
      <c r="I89" s="108"/>
      <c r="J89" s="108"/>
      <c r="K89" s="71"/>
      <c r="L89" s="114"/>
      <c r="M89" s="114"/>
      <c r="N89" s="71"/>
      <c r="O89" s="120"/>
      <c r="P89" s="120"/>
      <c r="Q89" s="71"/>
    </row>
    <row r="90" spans="1:17">
      <c r="B90" s="33" t="s">
        <v>327</v>
      </c>
      <c r="C90" s="102">
        <f>+C80+C88</f>
        <v>3493816.2732473621</v>
      </c>
      <c r="D90" s="102">
        <f>+D80+D88</f>
        <v>2909212</v>
      </c>
      <c r="E90" s="71"/>
      <c r="F90" s="128">
        <f>+F80+F88</f>
        <v>974787.96284349565</v>
      </c>
      <c r="G90" s="128">
        <f>+G80+G88</f>
        <v>383593</v>
      </c>
      <c r="H90" s="71"/>
      <c r="I90" s="108">
        <f>+I80+I88</f>
        <v>1337838.281572043</v>
      </c>
      <c r="J90" s="108">
        <f>+J80+J88</f>
        <v>7022</v>
      </c>
      <c r="K90" s="71"/>
      <c r="L90" s="114">
        <f>+L80+L88</f>
        <v>875875.34191974648</v>
      </c>
      <c r="M90" s="114">
        <f>+M80+M88</f>
        <v>851180</v>
      </c>
      <c r="N90" s="71"/>
      <c r="O90" s="120">
        <f>SUM(O80+O88)</f>
        <v>6682317.8595826486</v>
      </c>
      <c r="P90" s="120">
        <f>SUM(P80+P88)</f>
        <v>4151007</v>
      </c>
      <c r="Q90" s="71"/>
    </row>
    <row r="91" spans="1:17">
      <c r="C91" s="102"/>
      <c r="D91" s="102"/>
      <c r="E91" s="71"/>
      <c r="F91" s="128"/>
      <c r="G91" s="128"/>
      <c r="H91" s="71"/>
      <c r="I91" s="108"/>
      <c r="J91" s="108"/>
      <c r="K91" s="71"/>
      <c r="L91" s="114"/>
      <c r="M91" s="114"/>
      <c r="N91" s="71"/>
      <c r="O91" s="120"/>
      <c r="P91" s="120"/>
      <c r="Q91" s="71"/>
    </row>
    <row r="92" spans="1:17" outlineLevel="1">
      <c r="A92" s="33" t="s">
        <v>328</v>
      </c>
      <c r="C92" s="102"/>
      <c r="D92" s="102"/>
      <c r="E92" s="71"/>
      <c r="F92" s="128"/>
      <c r="G92" s="128"/>
      <c r="H92" s="71"/>
      <c r="I92" s="108"/>
      <c r="J92" s="108"/>
      <c r="K92" s="71"/>
      <c r="L92" s="114"/>
      <c r="M92" s="114"/>
      <c r="N92" s="71"/>
      <c r="O92" s="120"/>
      <c r="P92" s="120"/>
      <c r="Q92" s="71"/>
    </row>
    <row r="93" spans="1:17" outlineLevel="1">
      <c r="A93" s="33" t="s">
        <v>25</v>
      </c>
      <c r="B93" s="33" t="s">
        <v>33</v>
      </c>
      <c r="C93" s="103">
        <f ca="1">SUM(CAMP!BN93)</f>
        <v>306675.04399999994</v>
      </c>
      <c r="D93" s="103">
        <v>184541</v>
      </c>
      <c r="E93" s="71"/>
      <c r="F93" s="129">
        <f ca="1">SUM(OLIVIER!AN93)</f>
        <v>99414.141000000003</v>
      </c>
      <c r="G93" s="129">
        <v>22835</v>
      </c>
      <c r="H93" s="71"/>
      <c r="I93" s="109">
        <f ca="1">SUM(JEFF!AZ93)</f>
        <v>118031.931</v>
      </c>
      <c r="J93" s="109"/>
      <c r="K93" s="71"/>
      <c r="L93" s="115">
        <f ca="1">SUM(CMO!T93)</f>
        <v>60877.454400000002</v>
      </c>
      <c r="M93" s="115">
        <v>66891</v>
      </c>
      <c r="N93" s="71"/>
      <c r="O93" s="121">
        <f t="shared" ref="O93:O101" si="9">SUM(C93+F93+I93+L93)</f>
        <v>584998.57039999997</v>
      </c>
      <c r="P93" s="121">
        <f t="shared" ref="P93:P101" si="10">SUM(D93+G93+J93+M93)</f>
        <v>274267</v>
      </c>
      <c r="Q93" s="71"/>
    </row>
    <row r="94" spans="1:17" outlineLevel="1">
      <c r="A94" s="33" t="s">
        <v>26</v>
      </c>
      <c r="B94" s="33" t="s">
        <v>34</v>
      </c>
      <c r="C94" s="103">
        <f ca="1">SUM(CAMP!BN94)</f>
        <v>17711.639366399999</v>
      </c>
      <c r="D94" s="103">
        <v>10528</v>
      </c>
      <c r="E94" s="71"/>
      <c r="F94" s="129">
        <f ca="1">SUM(OLIVIER!AN94)</f>
        <v>5966.9965728000006</v>
      </c>
      <c r="G94" s="129">
        <v>1350</v>
      </c>
      <c r="H94" s="71"/>
      <c r="I94" s="109">
        <f ca="1">SUM(JEFF!AZ94)</f>
        <v>6170.467967999999</v>
      </c>
      <c r="J94" s="109"/>
      <c r="K94" s="71"/>
      <c r="L94" s="115">
        <f ca="1">SUM(CMO!T94)</f>
        <v>3694.364438399999</v>
      </c>
      <c r="M94" s="115">
        <v>4448</v>
      </c>
      <c r="N94" s="71"/>
      <c r="O94" s="121">
        <f t="shared" si="9"/>
        <v>33543.468345599998</v>
      </c>
      <c r="P94" s="121">
        <f t="shared" si="10"/>
        <v>16326</v>
      </c>
      <c r="Q94" s="71"/>
    </row>
    <row r="95" spans="1:17" outlineLevel="1">
      <c r="A95" s="33" t="s">
        <v>28</v>
      </c>
      <c r="B95" s="33" t="s">
        <v>27</v>
      </c>
      <c r="C95" s="103">
        <f ca="1">SUM(CAMP!BN95)</f>
        <v>214550.76894133637</v>
      </c>
      <c r="D95" s="103">
        <v>158710</v>
      </c>
      <c r="E95" s="71"/>
      <c r="F95" s="129">
        <f ca="1">SUM(OLIVIER!AN95)</f>
        <v>60167.773696296746</v>
      </c>
      <c r="G95" s="129">
        <v>21917</v>
      </c>
      <c r="H95" s="71"/>
      <c r="I95" s="109">
        <f ca="1">SUM(JEFF!AZ95)</f>
        <v>81975.332457466677</v>
      </c>
      <c r="J95" s="109">
        <v>435</v>
      </c>
      <c r="K95" s="71"/>
      <c r="L95" s="115">
        <f ca="1">SUM(CMO!T95)</f>
        <v>54304.27119902429</v>
      </c>
      <c r="M95" s="115">
        <v>53882</v>
      </c>
      <c r="N95" s="71"/>
      <c r="O95" s="121">
        <f t="shared" si="9"/>
        <v>410998.14629412408</v>
      </c>
      <c r="P95" s="121">
        <f t="shared" si="10"/>
        <v>234944</v>
      </c>
      <c r="Q95" s="71"/>
    </row>
    <row r="96" spans="1:17" outlineLevel="1">
      <c r="A96" s="33" t="s">
        <v>30</v>
      </c>
      <c r="B96" s="33" t="s">
        <v>29</v>
      </c>
      <c r="C96" s="103">
        <f ca="1">SUM(CAMP!BN96)</f>
        <v>50177.195962086742</v>
      </c>
      <c r="D96" s="103">
        <v>37097</v>
      </c>
      <c r="E96" s="71"/>
      <c r="F96" s="129">
        <f ca="1">SUM(OLIVIER!AN96)</f>
        <v>14071.49546123069</v>
      </c>
      <c r="G96" s="129">
        <v>5125</v>
      </c>
      <c r="H96" s="71"/>
      <c r="I96" s="109">
        <f ca="1">SUM(JEFF!AZ96)</f>
        <v>19171.650332794627</v>
      </c>
      <c r="J96" s="109">
        <v>101</v>
      </c>
      <c r="K96" s="71"/>
      <c r="L96" s="115">
        <f ca="1">SUM(CMO!T96)</f>
        <v>12700.192457836329</v>
      </c>
      <c r="M96" s="115">
        <v>12742</v>
      </c>
      <c r="N96" s="71"/>
      <c r="O96" s="121">
        <f t="shared" si="9"/>
        <v>96120.534213948384</v>
      </c>
      <c r="P96" s="121">
        <f t="shared" si="10"/>
        <v>55065</v>
      </c>
      <c r="Q96" s="71"/>
    </row>
    <row r="97" spans="1:17" outlineLevel="1">
      <c r="A97" s="33" t="s">
        <v>31</v>
      </c>
      <c r="B97" s="33" t="s">
        <v>32</v>
      </c>
      <c r="C97" s="103">
        <f ca="1">SUM(CAMP!BN97)</f>
        <v>195659.4965936667</v>
      </c>
      <c r="D97" s="103">
        <v>98398</v>
      </c>
      <c r="E97" s="71"/>
      <c r="F97" s="129">
        <f ca="1">SUM(OLIVIER!AN97)</f>
        <v>54949.440375991733</v>
      </c>
      <c r="G97" s="129">
        <v>16255</v>
      </c>
      <c r="H97" s="71"/>
      <c r="I97" s="109">
        <f ca="1">SUM(JEFF!AZ97)</f>
        <v>74167.414812088216</v>
      </c>
      <c r="J97" s="109">
        <v>422</v>
      </c>
      <c r="K97" s="71"/>
      <c r="L97" s="115">
        <f ca="1">SUM(CMO!T97)</f>
        <v>52437.020515184791</v>
      </c>
      <c r="M97" s="115">
        <v>46983</v>
      </c>
      <c r="N97" s="71"/>
      <c r="O97" s="121">
        <f t="shared" si="9"/>
        <v>377213.3722969314</v>
      </c>
      <c r="P97" s="121">
        <f t="shared" si="10"/>
        <v>162058</v>
      </c>
      <c r="Q97" s="71"/>
    </row>
    <row r="98" spans="1:17" outlineLevel="1">
      <c r="A98" s="33" t="s">
        <v>36</v>
      </c>
      <c r="B98" s="33" t="s">
        <v>35</v>
      </c>
      <c r="C98" s="103">
        <f ca="1">SUM(CAMP!BN98)</f>
        <v>19378.779130185227</v>
      </c>
      <c r="D98" s="103">
        <v>20029</v>
      </c>
      <c r="E98" s="71"/>
      <c r="F98" s="129">
        <f ca="1">SUM(OLIVIER!AN98)</f>
        <v>5434.5085919235762</v>
      </c>
      <c r="G98" s="129">
        <v>2759</v>
      </c>
      <c r="H98" s="71"/>
      <c r="I98" s="109">
        <f ca="1">SUM(JEFF!AZ98)</f>
        <v>7404.2235768034416</v>
      </c>
      <c r="J98" s="109">
        <v>40</v>
      </c>
      <c r="K98" s="71"/>
      <c r="L98" s="115">
        <f ca="1">SUM(CMO!T98)</f>
        <v>4904.9019147505805</v>
      </c>
      <c r="M98" s="115">
        <v>8387</v>
      </c>
      <c r="N98" s="71"/>
      <c r="O98" s="121">
        <f t="shared" si="9"/>
        <v>37122.413213662825</v>
      </c>
      <c r="P98" s="121">
        <f t="shared" si="10"/>
        <v>31215</v>
      </c>
      <c r="Q98" s="71"/>
    </row>
    <row r="99" spans="1:17" outlineLevel="1">
      <c r="A99" s="33" t="s">
        <v>38</v>
      </c>
      <c r="B99" s="33" t="s">
        <v>37</v>
      </c>
      <c r="C99" s="103">
        <f ca="1">SUM(CAMP!BN99)</f>
        <v>14641.242000000004</v>
      </c>
      <c r="D99" s="103">
        <v>15870</v>
      </c>
      <c r="E99" s="71"/>
      <c r="F99" s="129">
        <f ca="1">SUM(OLIVIER!AN99)</f>
        <v>5022.2865000000002</v>
      </c>
      <c r="G99" s="129">
        <v>3421</v>
      </c>
      <c r="H99" s="71"/>
      <c r="I99" s="109">
        <f ca="1">SUM(JEFF!AZ99)</f>
        <v>5533.0275000000001</v>
      </c>
      <c r="J99" s="109"/>
      <c r="K99" s="71"/>
      <c r="L99" s="115">
        <f ca="1">SUM(CMO!T99)</f>
        <v>2677.5209999999997</v>
      </c>
      <c r="M99" s="115">
        <v>5303</v>
      </c>
      <c r="N99" s="71"/>
      <c r="O99" s="121">
        <f t="shared" si="9"/>
        <v>27874.077000000005</v>
      </c>
      <c r="P99" s="121">
        <f t="shared" si="10"/>
        <v>24594</v>
      </c>
      <c r="Q99" s="71"/>
    </row>
    <row r="100" spans="1:17" outlineLevel="1">
      <c r="A100" s="33" t="s">
        <v>83</v>
      </c>
      <c r="B100" s="33" t="s">
        <v>84</v>
      </c>
      <c r="C100" s="103">
        <f ca="1">SUM(CAMP!BN100)</f>
        <v>5000</v>
      </c>
      <c r="D100" s="103">
        <v>2471</v>
      </c>
      <c r="E100" s="71"/>
      <c r="F100" s="129">
        <f ca="1">SUM(OLIVIER!AN100)</f>
        <v>0</v>
      </c>
      <c r="G100" s="129"/>
      <c r="H100" s="71"/>
      <c r="I100" s="109">
        <f ca="1">SUM(JEFF!AZ100)</f>
        <v>5000</v>
      </c>
      <c r="J100" s="109"/>
      <c r="K100" s="71"/>
      <c r="L100" s="115">
        <f ca="1">SUM(CMO!T100)</f>
        <v>1200</v>
      </c>
      <c r="M100" s="115"/>
      <c r="N100" s="71"/>
      <c r="O100" s="121">
        <f t="shared" si="9"/>
        <v>11200</v>
      </c>
      <c r="P100" s="121">
        <f t="shared" si="10"/>
        <v>2471</v>
      </c>
      <c r="Q100" s="71"/>
    </row>
    <row r="101" spans="1:17" outlineLevel="1">
      <c r="A101" s="33" t="s">
        <v>39</v>
      </c>
      <c r="B101" s="33" t="s">
        <v>40</v>
      </c>
      <c r="C101" s="104">
        <f ca="1">SUM(CAMP!BN101)</f>
        <v>25261.622794705738</v>
      </c>
      <c r="D101" s="104">
        <v>17066</v>
      </c>
      <c r="E101" s="71"/>
      <c r="F101" s="130">
        <f ca="1">SUM(OLIVIER!AN101)</f>
        <v>7084.2701287575192</v>
      </c>
      <c r="G101" s="130">
        <v>1620</v>
      </c>
      <c r="H101" s="71"/>
      <c r="I101" s="110">
        <f ca="1">SUM(JEFF!AZ101)</f>
        <v>9651.9343054759156</v>
      </c>
      <c r="J101" s="110">
        <v>48</v>
      </c>
      <c r="K101" s="71"/>
      <c r="L101" s="116">
        <f ca="1">SUM(CMO!T101)</f>
        <v>6393.8899960141498</v>
      </c>
      <c r="M101" s="116">
        <v>6043</v>
      </c>
      <c r="N101" s="71"/>
      <c r="O101" s="122">
        <f t="shared" si="9"/>
        <v>48391.717224953325</v>
      </c>
      <c r="P101" s="122">
        <f t="shared" si="10"/>
        <v>24777</v>
      </c>
      <c r="Q101" s="71"/>
    </row>
    <row r="102" spans="1:17">
      <c r="B102" s="33" t="s">
        <v>235</v>
      </c>
      <c r="C102" s="102">
        <f>+SUM(C93:C101)</f>
        <v>849055.7887883808</v>
      </c>
      <c r="D102" s="102">
        <f>+SUM(D93:D101)</f>
        <v>544710</v>
      </c>
      <c r="E102" s="71"/>
      <c r="F102" s="128">
        <f>+SUM(F93:F101)</f>
        <v>252110.91232700023</v>
      </c>
      <c r="G102" s="128">
        <f>+SUM(G93:G101)</f>
        <v>75282</v>
      </c>
      <c r="H102" s="71"/>
      <c r="I102" s="108">
        <f>+SUM(I93:I101)</f>
        <v>327105.98195262888</v>
      </c>
      <c r="J102" s="108">
        <f>+SUM(J93:J101)</f>
        <v>1046</v>
      </c>
      <c r="K102" s="71"/>
      <c r="L102" s="114">
        <f>+SUM(L93:L101)</f>
        <v>199189.61592121015</v>
      </c>
      <c r="M102" s="114">
        <f>+SUM(M93:M101)</f>
        <v>204679</v>
      </c>
      <c r="N102" s="71"/>
      <c r="O102" s="120">
        <f>SUM(O93:O101)</f>
        <v>1627462.2989892198</v>
      </c>
      <c r="P102" s="120">
        <f>SUM(P93:P101)</f>
        <v>825717</v>
      </c>
      <c r="Q102" s="71"/>
    </row>
    <row r="103" spans="1:17">
      <c r="C103" s="102"/>
      <c r="D103" s="102"/>
      <c r="E103" s="71"/>
      <c r="F103" s="128"/>
      <c r="G103" s="128"/>
      <c r="H103" s="71"/>
      <c r="I103" s="108"/>
      <c r="J103" s="108"/>
      <c r="K103" s="71"/>
      <c r="L103" s="114"/>
      <c r="M103" s="114"/>
      <c r="N103" s="71"/>
      <c r="O103" s="120"/>
      <c r="P103" s="120"/>
      <c r="Q103" s="71"/>
    </row>
    <row r="104" spans="1:17" s="32" customFormat="1" ht="10.5">
      <c r="A104" s="37"/>
      <c r="B104" s="37" t="s">
        <v>236</v>
      </c>
      <c r="C104" s="102">
        <f>SUM(C90+C102)</f>
        <v>4342872.0620357431</v>
      </c>
      <c r="D104" s="102">
        <f>SUM(D90+D102)</f>
        <v>3453922</v>
      </c>
      <c r="E104" s="67"/>
      <c r="F104" s="128">
        <f>+F90+F102</f>
        <v>1226898.8751704958</v>
      </c>
      <c r="G104" s="128">
        <f>SUM(G90+G102)</f>
        <v>458875</v>
      </c>
      <c r="H104" s="67"/>
      <c r="I104" s="108">
        <f>+I90+I102</f>
        <v>1664944.2635246718</v>
      </c>
      <c r="J104" s="108">
        <f>SUM(J90+J102)</f>
        <v>8068</v>
      </c>
      <c r="K104" s="67"/>
      <c r="L104" s="114">
        <f>SUM(L90+L102)</f>
        <v>1075064.9578409567</v>
      </c>
      <c r="M104" s="114">
        <f>SUM(M90+M102)</f>
        <v>1055859</v>
      </c>
      <c r="N104" s="67"/>
      <c r="O104" s="120">
        <f>SUM(O90+O102)</f>
        <v>8309780.1585718682</v>
      </c>
      <c r="P104" s="120">
        <f>SUM(P90+P102)</f>
        <v>4976724</v>
      </c>
      <c r="Q104" s="67"/>
    </row>
    <row r="105" spans="1:17">
      <c r="C105" s="102"/>
      <c r="D105" s="102"/>
      <c r="E105" s="71"/>
      <c r="F105" s="128"/>
      <c r="G105" s="128"/>
      <c r="H105" s="71"/>
      <c r="I105" s="108"/>
      <c r="J105" s="108"/>
      <c r="K105" s="71"/>
      <c r="L105" s="114"/>
      <c r="M105" s="114"/>
      <c r="N105" s="71"/>
      <c r="O105" s="120"/>
      <c r="P105" s="120"/>
      <c r="Q105" s="71"/>
    </row>
    <row r="106" spans="1:17">
      <c r="A106" s="33" t="s">
        <v>237</v>
      </c>
      <c r="C106" s="102"/>
      <c r="D106" s="102"/>
      <c r="E106" s="71"/>
      <c r="F106" s="128"/>
      <c r="G106" s="128"/>
      <c r="H106" s="71"/>
      <c r="I106" s="108"/>
      <c r="J106" s="108"/>
      <c r="K106" s="71"/>
      <c r="L106" s="114"/>
      <c r="M106" s="114"/>
      <c r="N106" s="71"/>
      <c r="O106" s="120"/>
      <c r="P106" s="120"/>
      <c r="Q106" s="71"/>
    </row>
    <row r="107" spans="1:17" outlineLevel="1">
      <c r="A107" s="33" t="s">
        <v>238</v>
      </c>
      <c r="C107" s="102"/>
      <c r="D107" s="102"/>
      <c r="E107" s="71"/>
      <c r="F107" s="128"/>
      <c r="G107" s="128"/>
      <c r="H107" s="71"/>
      <c r="I107" s="108"/>
      <c r="J107" s="108"/>
      <c r="K107" s="71"/>
      <c r="L107" s="114"/>
      <c r="M107" s="114"/>
      <c r="N107" s="71"/>
      <c r="O107" s="120"/>
      <c r="P107" s="120"/>
      <c r="Q107" s="71"/>
    </row>
    <row r="108" spans="1:17" outlineLevel="1">
      <c r="A108" s="33" t="s">
        <v>51</v>
      </c>
      <c r="B108" s="33" t="s">
        <v>50</v>
      </c>
      <c r="C108" s="103">
        <f ca="1">SUM(CAMP!BN108)</f>
        <v>69107.57575757576</v>
      </c>
      <c r="D108" s="103">
        <v>33305</v>
      </c>
      <c r="E108" s="71"/>
      <c r="F108" s="129">
        <f ca="1">SUM(OLIVIER!AN108)</f>
        <v>37578.59848484848</v>
      </c>
      <c r="G108" s="129">
        <v>625</v>
      </c>
      <c r="H108" s="71"/>
      <c r="I108" s="109">
        <f ca="1">SUM(JEFF!AZ108)</f>
        <v>7523.4375</v>
      </c>
      <c r="J108" s="109"/>
      <c r="K108" s="71"/>
      <c r="L108" s="115">
        <f ca="1">SUM(CMO!T108)</f>
        <v>35037.5</v>
      </c>
      <c r="M108" s="115">
        <v>113841</v>
      </c>
      <c r="N108" s="71"/>
      <c r="O108" s="121">
        <f t="shared" ref="O108:O121" si="11">SUM(C108+F108+I108+L108)</f>
        <v>149247.11174242425</v>
      </c>
      <c r="P108" s="121">
        <f t="shared" ref="P108:P121" si="12">SUM(D108+G108+J108+M108)</f>
        <v>147771</v>
      </c>
      <c r="Q108" s="71"/>
    </row>
    <row r="109" spans="1:17" outlineLevel="1">
      <c r="A109" s="33" t="s">
        <v>41</v>
      </c>
      <c r="B109" s="33" t="s">
        <v>42</v>
      </c>
      <c r="C109" s="103">
        <f ca="1">SUM(CAMP!BN109)</f>
        <v>99778.420569329654</v>
      </c>
      <c r="D109" s="103">
        <v>137434</v>
      </c>
      <c r="E109" s="71"/>
      <c r="F109" s="129">
        <f ca="1">SUM(OLIVIER!AN109)</f>
        <v>52985.651974288339</v>
      </c>
      <c r="G109" s="129">
        <v>7288</v>
      </c>
      <c r="H109" s="71"/>
      <c r="I109" s="109">
        <f ca="1">SUM(JEFF!AZ109)</f>
        <v>59375</v>
      </c>
      <c r="J109" s="109"/>
      <c r="K109" s="71"/>
      <c r="L109" s="115">
        <f ca="1">SUM(CMO!T109)</f>
        <v>750</v>
      </c>
      <c r="M109" s="115">
        <v>2216</v>
      </c>
      <c r="N109" s="71"/>
      <c r="O109" s="121">
        <f t="shared" si="11"/>
        <v>212889.07254361798</v>
      </c>
      <c r="P109" s="121">
        <f t="shared" si="12"/>
        <v>146938</v>
      </c>
      <c r="Q109" s="71"/>
    </row>
    <row r="110" spans="1:17" outlineLevel="1">
      <c r="A110" s="33" t="s">
        <v>43</v>
      </c>
      <c r="B110" s="33" t="s">
        <v>239</v>
      </c>
      <c r="C110" s="103">
        <f ca="1">SUM(CAMP!BN110)</f>
        <v>18348.484848484848</v>
      </c>
      <c r="D110" s="103">
        <v>5157</v>
      </c>
      <c r="E110" s="71"/>
      <c r="F110" s="129">
        <f ca="1">SUM(OLIVIER!AN110)</f>
        <v>5878.030303030303</v>
      </c>
      <c r="G110" s="129">
        <v>1146</v>
      </c>
      <c r="H110" s="71"/>
      <c r="I110" s="109">
        <f ca="1">SUM(JEFF!AZ110)</f>
        <v>8925</v>
      </c>
      <c r="J110" s="109"/>
      <c r="K110" s="71"/>
      <c r="L110" s="115">
        <f ca="1">SUM(CMO!T110)</f>
        <v>48100</v>
      </c>
      <c r="M110" s="115">
        <v>19367</v>
      </c>
      <c r="N110" s="71"/>
      <c r="O110" s="121">
        <f t="shared" si="11"/>
        <v>81251.515151515152</v>
      </c>
      <c r="P110" s="121">
        <f t="shared" si="12"/>
        <v>25670</v>
      </c>
      <c r="Q110" s="71"/>
    </row>
    <row r="111" spans="1:17" outlineLevel="1">
      <c r="A111" s="33" t="s">
        <v>44</v>
      </c>
      <c r="B111" s="33" t="s">
        <v>45</v>
      </c>
      <c r="C111" s="103">
        <f ca="1">SUM(CAMP!BN111)</f>
        <v>3000</v>
      </c>
      <c r="D111" s="103"/>
      <c r="E111" s="71"/>
      <c r="F111" s="129">
        <f ca="1">SUM(OLIVIER!AN111)</f>
        <v>1000</v>
      </c>
      <c r="G111" s="129"/>
      <c r="H111" s="71"/>
      <c r="I111" s="109">
        <f ca="1">SUM(JEFF!AZ111)</f>
        <v>1000</v>
      </c>
      <c r="J111" s="109"/>
      <c r="K111" s="71"/>
      <c r="L111" s="115">
        <f ca="1">SUM(CMO!T111)</f>
        <v>10000</v>
      </c>
      <c r="M111" s="115"/>
      <c r="N111" s="71"/>
      <c r="O111" s="121">
        <f t="shared" si="11"/>
        <v>15000</v>
      </c>
      <c r="P111" s="121">
        <f t="shared" si="12"/>
        <v>0</v>
      </c>
      <c r="Q111" s="71"/>
    </row>
    <row r="112" spans="1:17" outlineLevel="1">
      <c r="A112" s="33" t="s">
        <v>46</v>
      </c>
      <c r="B112" s="33" t="s">
        <v>240</v>
      </c>
      <c r="C112" s="103">
        <f ca="1">SUM(CAMP!BN112)</f>
        <v>0</v>
      </c>
      <c r="D112" s="103">
        <v>8795</v>
      </c>
      <c r="E112" s="71"/>
      <c r="F112" s="129">
        <f ca="1">SUM(OLIVIER!AN112)</f>
        <v>0</v>
      </c>
      <c r="G112" s="129"/>
      <c r="H112" s="71"/>
      <c r="I112" s="109">
        <f ca="1">SUM(JEFF!AZ112)</f>
        <v>0</v>
      </c>
      <c r="J112" s="109">
        <v>1076</v>
      </c>
      <c r="K112" s="71"/>
      <c r="L112" s="115">
        <f ca="1">SUM(CMO!T112)</f>
        <v>32500</v>
      </c>
      <c r="M112" s="115">
        <v>8602</v>
      </c>
      <c r="N112" s="71"/>
      <c r="O112" s="121">
        <f t="shared" si="11"/>
        <v>32500</v>
      </c>
      <c r="P112" s="121">
        <f t="shared" si="12"/>
        <v>18473</v>
      </c>
      <c r="Q112" s="71"/>
    </row>
    <row r="113" spans="1:17" outlineLevel="1">
      <c r="A113" s="33" t="s">
        <v>47</v>
      </c>
      <c r="B113" s="33" t="s">
        <v>241</v>
      </c>
      <c r="C113" s="103">
        <f ca="1">SUM(CAMP!BN113)</f>
        <v>1696.969696969697</v>
      </c>
      <c r="D113" s="103">
        <v>541</v>
      </c>
      <c r="E113" s="71"/>
      <c r="F113" s="129">
        <f ca="1">SUM(OLIVIER!AN113)</f>
        <v>606.06060606060498</v>
      </c>
      <c r="G113" s="129"/>
      <c r="H113" s="71"/>
      <c r="I113" s="109">
        <f ca="1">SUM(JEFF!AZ113)</f>
        <v>0</v>
      </c>
      <c r="J113" s="109"/>
      <c r="K113" s="71"/>
      <c r="L113" s="115">
        <f ca="1">SUM(CMO!T113)</f>
        <v>27500</v>
      </c>
      <c r="M113" s="115">
        <v>13333</v>
      </c>
      <c r="N113" s="71"/>
      <c r="O113" s="121">
        <f t="shared" si="11"/>
        <v>29803.030303030304</v>
      </c>
      <c r="P113" s="121">
        <f t="shared" si="12"/>
        <v>13874</v>
      </c>
      <c r="Q113" s="71"/>
    </row>
    <row r="114" spans="1:17" outlineLevel="1">
      <c r="A114" s="33" t="s">
        <v>48</v>
      </c>
      <c r="B114" s="33" t="s">
        <v>49</v>
      </c>
      <c r="C114" s="103">
        <f ca="1">SUM(CAMP!BN114)</f>
        <v>12220</v>
      </c>
      <c r="D114" s="103">
        <v>5512</v>
      </c>
      <c r="E114" s="71"/>
      <c r="F114" s="129">
        <f ca="1">SUM(OLIVIER!AN114)</f>
        <v>6000</v>
      </c>
      <c r="G114" s="129">
        <v>717</v>
      </c>
      <c r="H114" s="71"/>
      <c r="I114" s="109">
        <f ca="1">SUM(JEFF!AZ114)</f>
        <v>4725</v>
      </c>
      <c r="J114" s="109"/>
      <c r="K114" s="71"/>
      <c r="L114" s="115">
        <f ca="1">SUM(CMO!T114)</f>
        <v>680</v>
      </c>
      <c r="M114" s="115">
        <v>6415</v>
      </c>
      <c r="N114" s="71"/>
      <c r="O114" s="121">
        <f t="shared" si="11"/>
        <v>23625</v>
      </c>
      <c r="P114" s="121">
        <f t="shared" si="12"/>
        <v>12644</v>
      </c>
      <c r="Q114" s="71"/>
    </row>
    <row r="115" spans="1:17" outlineLevel="1">
      <c r="A115" s="33" t="s">
        <v>82</v>
      </c>
      <c r="B115" s="33" t="s">
        <v>166</v>
      </c>
      <c r="C115" s="103">
        <f ca="1">SUM(CAMP!BN115)</f>
        <v>2100</v>
      </c>
      <c r="D115" s="103">
        <v>460</v>
      </c>
      <c r="E115" s="71"/>
      <c r="F115" s="129">
        <f ca="1">SUM(OLIVIER!AN115)</f>
        <v>600</v>
      </c>
      <c r="G115" s="129">
        <v>50</v>
      </c>
      <c r="H115" s="71"/>
      <c r="I115" s="109">
        <f ca="1">SUM(JEFF!AZ115)</f>
        <v>925</v>
      </c>
      <c r="J115" s="109"/>
      <c r="K115" s="71"/>
      <c r="L115" s="115">
        <f ca="1">SUM(CMO!T115)</f>
        <v>0</v>
      </c>
      <c r="M115" s="115">
        <v>200</v>
      </c>
      <c r="N115" s="71"/>
      <c r="O115" s="121">
        <f t="shared" si="11"/>
        <v>3625</v>
      </c>
      <c r="P115" s="121">
        <f t="shared" si="12"/>
        <v>710</v>
      </c>
      <c r="Q115" s="71"/>
    </row>
    <row r="116" spans="1:17" outlineLevel="1">
      <c r="A116" s="33" t="s">
        <v>104</v>
      </c>
      <c r="B116" s="33" t="s">
        <v>103</v>
      </c>
      <c r="C116" s="103">
        <f ca="1">SUM(CAMP!BN116)</f>
        <v>212.12121212121212</v>
      </c>
      <c r="D116" s="103">
        <v>1116</v>
      </c>
      <c r="E116" s="71"/>
      <c r="F116" s="129">
        <f ca="1">SUM(OLIVIER!AN116)</f>
        <v>75.757575757576006</v>
      </c>
      <c r="G116" s="129">
        <v>583</v>
      </c>
      <c r="H116" s="71"/>
      <c r="I116" s="109">
        <f ca="1">SUM(JEFF!AZ116)</f>
        <v>0</v>
      </c>
      <c r="J116" s="109"/>
      <c r="K116" s="71"/>
      <c r="L116" s="115">
        <f ca="1">SUM(CMO!T116)</f>
        <v>5000</v>
      </c>
      <c r="M116" s="115">
        <v>1408</v>
      </c>
      <c r="N116" s="71"/>
      <c r="O116" s="121">
        <f t="shared" si="11"/>
        <v>5287.878787878788</v>
      </c>
      <c r="P116" s="121">
        <f t="shared" si="12"/>
        <v>3107</v>
      </c>
      <c r="Q116" s="71"/>
    </row>
    <row r="117" spans="1:17" outlineLevel="1">
      <c r="A117" s="33" t="s">
        <v>59</v>
      </c>
      <c r="B117" s="33" t="s">
        <v>321</v>
      </c>
      <c r="C117" s="103">
        <f ca="1">SUM(CAMP!BN117)</f>
        <v>1776</v>
      </c>
      <c r="D117" s="103">
        <v>829</v>
      </c>
      <c r="E117" s="71"/>
      <c r="F117" s="129">
        <f ca="1">SUM(OLIVIER!AN117)</f>
        <v>792</v>
      </c>
      <c r="G117" s="129">
        <v>296</v>
      </c>
      <c r="H117" s="71"/>
      <c r="I117" s="109">
        <f ca="1">SUM(JEFF!AZ117)</f>
        <v>792</v>
      </c>
      <c r="J117" s="109"/>
      <c r="K117" s="71"/>
      <c r="L117" s="115">
        <f ca="1">SUM(CMO!T117)</f>
        <v>0</v>
      </c>
      <c r="M117" s="115"/>
      <c r="N117" s="71"/>
      <c r="O117" s="121">
        <f t="shared" si="11"/>
        <v>3360</v>
      </c>
      <c r="P117" s="121">
        <f t="shared" si="12"/>
        <v>1125</v>
      </c>
      <c r="Q117" s="71"/>
    </row>
    <row r="118" spans="1:17" outlineLevel="1">
      <c r="A118" s="33" t="s">
        <v>87</v>
      </c>
      <c r="B118" s="33" t="s">
        <v>88</v>
      </c>
      <c r="C118" s="103">
        <f ca="1">SUM(CAMP!BN118)</f>
        <v>0</v>
      </c>
      <c r="D118" s="103">
        <v>736</v>
      </c>
      <c r="E118" s="71"/>
      <c r="F118" s="129">
        <f ca="1">SUM(OLIVIER!AN118)</f>
        <v>0</v>
      </c>
      <c r="G118" s="129">
        <v>3751</v>
      </c>
      <c r="H118" s="71"/>
      <c r="I118" s="109">
        <f ca="1">SUM(JEFF!AZ118)</f>
        <v>0</v>
      </c>
      <c r="J118" s="109"/>
      <c r="K118" s="71"/>
      <c r="L118" s="115">
        <f ca="1">SUM(CMO!T118)</f>
        <v>47500</v>
      </c>
      <c r="M118" s="115">
        <v>45260</v>
      </c>
      <c r="N118" s="71"/>
      <c r="O118" s="121">
        <f t="shared" si="11"/>
        <v>47500</v>
      </c>
      <c r="P118" s="121">
        <f t="shared" si="12"/>
        <v>49747</v>
      </c>
      <c r="Q118" s="71"/>
    </row>
    <row r="119" spans="1:17" outlineLevel="1">
      <c r="A119" s="33" t="s">
        <v>89</v>
      </c>
      <c r="B119" s="33" t="s">
        <v>90</v>
      </c>
      <c r="C119" s="103">
        <f ca="1">SUM(CAMP!BN119)</f>
        <v>0</v>
      </c>
      <c r="D119" s="103">
        <v>2034</v>
      </c>
      <c r="E119" s="71"/>
      <c r="F119" s="129">
        <f ca="1">SUM(OLIVIER!AN119)</f>
        <v>0</v>
      </c>
      <c r="G119" s="129">
        <v>842</v>
      </c>
      <c r="H119" s="71"/>
      <c r="I119" s="109">
        <f ca="1">SUM(JEFF!AZ119)</f>
        <v>0</v>
      </c>
      <c r="J119" s="109"/>
      <c r="K119" s="71"/>
      <c r="L119" s="115">
        <f ca="1">SUM(CMO!T119)</f>
        <v>0</v>
      </c>
      <c r="M119" s="115">
        <v>2599</v>
      </c>
      <c r="N119" s="71"/>
      <c r="O119" s="121">
        <f t="shared" si="11"/>
        <v>0</v>
      </c>
      <c r="P119" s="121">
        <f t="shared" si="12"/>
        <v>5475</v>
      </c>
      <c r="Q119" s="71"/>
    </row>
    <row r="120" spans="1:17" outlineLevel="1">
      <c r="A120" s="33" t="s">
        <v>450</v>
      </c>
      <c r="B120" s="33" t="s">
        <v>451</v>
      </c>
      <c r="C120" s="103">
        <f ca="1">SUM(CAMP!BN120)</f>
        <v>954.54545454545462</v>
      </c>
      <c r="D120" s="103">
        <v>7880</v>
      </c>
      <c r="E120" s="71"/>
      <c r="F120" s="129">
        <f ca="1">SUM(OLIVIER!AN120)</f>
        <v>340.90909090909093</v>
      </c>
      <c r="G120" s="129">
        <v>1300</v>
      </c>
      <c r="H120" s="71"/>
      <c r="I120" s="109">
        <f ca="1">SUM(JEFF!AZ120)</f>
        <v>425000</v>
      </c>
      <c r="J120" s="109"/>
      <c r="K120" s="71"/>
      <c r="L120" s="115">
        <f ca="1">SUM(CMO!T120)</f>
        <v>0</v>
      </c>
      <c r="M120" s="115"/>
      <c r="N120" s="71"/>
      <c r="O120" s="121">
        <f t="shared" si="11"/>
        <v>426295.45454545453</v>
      </c>
      <c r="P120" s="121">
        <f t="shared" si="12"/>
        <v>9180</v>
      </c>
      <c r="Q120" s="71"/>
    </row>
    <row r="121" spans="1:17" outlineLevel="1">
      <c r="A121" s="33" t="s">
        <v>52</v>
      </c>
      <c r="B121" s="33" t="s">
        <v>53</v>
      </c>
      <c r="C121" s="104">
        <f ca="1">SUM(CAMP!BN121)</f>
        <v>15196.969696969696</v>
      </c>
      <c r="D121" s="104">
        <v>3973</v>
      </c>
      <c r="E121" s="71"/>
      <c r="F121" s="130">
        <f ca="1">SUM(OLIVIER!AN121)</f>
        <v>5106.0606060606051</v>
      </c>
      <c r="G121" s="130">
        <v>2184</v>
      </c>
      <c r="H121" s="71"/>
      <c r="I121" s="110">
        <f ca="1">SUM(JEFF!AZ121)</f>
        <v>5500</v>
      </c>
      <c r="J121" s="110"/>
      <c r="K121" s="71"/>
      <c r="L121" s="116">
        <f ca="1">SUM(CMO!T121)</f>
        <v>33000</v>
      </c>
      <c r="M121" s="116"/>
      <c r="N121" s="71"/>
      <c r="O121" s="122">
        <f t="shared" si="11"/>
        <v>58803.030303030304</v>
      </c>
      <c r="P121" s="122">
        <f t="shared" si="12"/>
        <v>6157</v>
      </c>
      <c r="Q121" s="71"/>
    </row>
    <row r="122" spans="1:17">
      <c r="B122" s="33" t="s">
        <v>242</v>
      </c>
      <c r="C122" s="102">
        <f>SUM(C108:C121)</f>
        <v>224391.0872359963</v>
      </c>
      <c r="D122" s="102">
        <f>SUM(D108:D121)</f>
        <v>207772</v>
      </c>
      <c r="E122" s="71"/>
      <c r="F122" s="128">
        <f>SUM(F108:F121)</f>
        <v>110963.06864095501</v>
      </c>
      <c r="G122" s="128">
        <f>SUM(G108:G121)</f>
        <v>18782</v>
      </c>
      <c r="H122" s="71"/>
      <c r="I122" s="108">
        <f>SUM(I108:I121)</f>
        <v>513765.4375</v>
      </c>
      <c r="J122" s="108">
        <f>SUM(J108:J121)</f>
        <v>1076</v>
      </c>
      <c r="K122" s="71"/>
      <c r="L122" s="114">
        <f>SUM(L108:L121)</f>
        <v>240067.5</v>
      </c>
      <c r="M122" s="114">
        <f>SUM(M108:M121)</f>
        <v>213241</v>
      </c>
      <c r="N122" s="71"/>
      <c r="O122" s="120">
        <f>SUM(O108:O121)</f>
        <v>1089187.0933769513</v>
      </c>
      <c r="P122" s="120">
        <f>SUM(P108:P121)</f>
        <v>440871</v>
      </c>
      <c r="Q122" s="71"/>
    </row>
    <row r="123" spans="1:17" outlineLevel="1">
      <c r="C123" s="102"/>
      <c r="D123" s="102"/>
      <c r="E123" s="71"/>
      <c r="F123" s="128"/>
      <c r="G123" s="128"/>
      <c r="H123" s="71"/>
      <c r="I123" s="108"/>
      <c r="J123" s="108"/>
      <c r="K123" s="71"/>
      <c r="L123" s="114"/>
      <c r="M123" s="114"/>
      <c r="N123" s="71"/>
      <c r="O123" s="120"/>
      <c r="P123" s="120"/>
      <c r="Q123" s="71"/>
    </row>
    <row r="124" spans="1:17" outlineLevel="1">
      <c r="A124" s="33" t="s">
        <v>243</v>
      </c>
      <c r="C124" s="102"/>
      <c r="D124" s="102"/>
      <c r="E124" s="71"/>
      <c r="F124" s="128"/>
      <c r="G124" s="128"/>
      <c r="H124" s="71"/>
      <c r="I124" s="108"/>
      <c r="J124" s="108"/>
      <c r="K124" s="71"/>
      <c r="L124" s="114"/>
      <c r="M124" s="114"/>
      <c r="N124" s="71"/>
      <c r="O124" s="120"/>
      <c r="P124" s="120"/>
      <c r="Q124" s="71"/>
    </row>
    <row r="125" spans="1:17" outlineLevel="1">
      <c r="A125" s="33" t="s">
        <v>56</v>
      </c>
      <c r="B125" s="33" t="s">
        <v>246</v>
      </c>
      <c r="C125" s="103">
        <f ca="1">SUM(CAMP!BN125)</f>
        <v>480</v>
      </c>
      <c r="D125" s="103">
        <v>592</v>
      </c>
      <c r="E125" s="71"/>
      <c r="F125" s="129">
        <f ca="1">SUM(OLIVIER!AN125)</f>
        <v>3000</v>
      </c>
      <c r="G125" s="129">
        <v>7441</v>
      </c>
      <c r="H125" s="71"/>
      <c r="I125" s="109">
        <f ca="1">SUM(JEFF!AZ125)</f>
        <v>0</v>
      </c>
      <c r="J125" s="109"/>
      <c r="K125" s="71"/>
      <c r="L125" s="115">
        <f ca="1">SUM(CMO!T125)</f>
        <v>0</v>
      </c>
      <c r="M125" s="115"/>
      <c r="N125" s="71"/>
      <c r="O125" s="121">
        <f t="shared" ref="O125:O132" si="13">SUM(C125+F125+I125+L125)</f>
        <v>3480</v>
      </c>
      <c r="P125" s="121">
        <f t="shared" ref="P125:P132" si="14">SUM(D125+G125+J125+M125)</f>
        <v>8033</v>
      </c>
      <c r="Q125" s="71"/>
    </row>
    <row r="126" spans="1:17" outlineLevel="1">
      <c r="A126" s="33" t="s">
        <v>57</v>
      </c>
      <c r="B126" s="33" t="s">
        <v>247</v>
      </c>
      <c r="C126" s="103">
        <f ca="1">SUM(CAMP!BN126)</f>
        <v>4800</v>
      </c>
      <c r="D126" s="103">
        <v>6415</v>
      </c>
      <c r="E126" s="71"/>
      <c r="F126" s="129">
        <f ca="1">SUM(OLIVIER!AN126)</f>
        <v>4800</v>
      </c>
      <c r="G126" s="129">
        <v>2187</v>
      </c>
      <c r="H126" s="71"/>
      <c r="I126" s="109">
        <f ca="1">SUM(JEFF!AZ126)</f>
        <v>4800</v>
      </c>
      <c r="J126" s="109"/>
      <c r="K126" s="71"/>
      <c r="L126" s="115">
        <f ca="1">SUM(CMO!T126)</f>
        <v>720</v>
      </c>
      <c r="M126" s="115">
        <v>146</v>
      </c>
      <c r="N126" s="71"/>
      <c r="O126" s="121">
        <f t="shared" si="13"/>
        <v>15120</v>
      </c>
      <c r="P126" s="121">
        <f t="shared" si="14"/>
        <v>8748</v>
      </c>
      <c r="Q126" s="71"/>
    </row>
    <row r="127" spans="1:17" outlineLevel="1">
      <c r="A127" s="33" t="s">
        <v>58</v>
      </c>
      <c r="B127" s="33" t="s">
        <v>248</v>
      </c>
      <c r="C127" s="103">
        <f ca="1">SUM(CAMP!BN127)</f>
        <v>6516.3636363636369</v>
      </c>
      <c r="D127" s="103">
        <v>2373</v>
      </c>
      <c r="E127" s="71"/>
      <c r="F127" s="129">
        <f ca="1">SUM(OLIVIER!AN127)</f>
        <v>2327.2727272727248</v>
      </c>
      <c r="G127" s="129">
        <v>105</v>
      </c>
      <c r="H127" s="71"/>
      <c r="I127" s="109">
        <f ca="1">SUM(JEFF!AZ127)</f>
        <v>0</v>
      </c>
      <c r="J127" s="109"/>
      <c r="K127" s="71"/>
      <c r="L127" s="115">
        <f ca="1">SUM(CMO!T127)</f>
        <v>0</v>
      </c>
      <c r="M127" s="115">
        <v>20</v>
      </c>
      <c r="N127" s="71"/>
      <c r="O127" s="121">
        <f t="shared" si="13"/>
        <v>8843.6363636363621</v>
      </c>
      <c r="P127" s="121">
        <f t="shared" si="14"/>
        <v>2498</v>
      </c>
      <c r="Q127" s="71"/>
    </row>
    <row r="128" spans="1:17" outlineLevel="1">
      <c r="A128" s="33" t="s">
        <v>55</v>
      </c>
      <c r="B128" s="33" t="s">
        <v>245</v>
      </c>
      <c r="C128" s="103">
        <f ca="1">SUM(CAMP!BN128)</f>
        <v>5250</v>
      </c>
      <c r="D128" s="103">
        <v>4856</v>
      </c>
      <c r="E128" s="71"/>
      <c r="F128" s="129">
        <f ca="1">SUM(OLIVIER!AN128)</f>
        <v>3000</v>
      </c>
      <c r="G128" s="129">
        <v>968</v>
      </c>
      <c r="H128" s="71"/>
      <c r="I128" s="109">
        <f ca="1">SUM(JEFF!AZ128)</f>
        <v>3000</v>
      </c>
      <c r="J128" s="109"/>
      <c r="K128" s="71"/>
      <c r="L128" s="115">
        <f ca="1">SUM(CMO!T128)</f>
        <v>0</v>
      </c>
      <c r="M128" s="115"/>
      <c r="N128" s="71"/>
      <c r="O128" s="121">
        <f t="shared" si="13"/>
        <v>11250</v>
      </c>
      <c r="P128" s="121">
        <f t="shared" si="14"/>
        <v>5824</v>
      </c>
      <c r="Q128" s="71"/>
    </row>
    <row r="129" spans="1:17" ht="10.5" customHeight="1" outlineLevel="1">
      <c r="A129" s="33" t="s">
        <v>54</v>
      </c>
      <c r="B129" s="33" t="s">
        <v>244</v>
      </c>
      <c r="C129" s="103">
        <f ca="1">SUM(CAMP!BN129)</f>
        <v>50000</v>
      </c>
      <c r="D129" s="103">
        <v>61650</v>
      </c>
      <c r="E129" s="71"/>
      <c r="F129" s="129">
        <f ca="1">SUM(OLIVIER!AN129)</f>
        <v>20000</v>
      </c>
      <c r="G129" s="129">
        <v>18503</v>
      </c>
      <c r="H129" s="71"/>
      <c r="I129" s="109">
        <f ca="1">SUM(JEFF!AZ129)</f>
        <v>50000</v>
      </c>
      <c r="J129" s="109"/>
      <c r="K129" s="71"/>
      <c r="L129" s="115">
        <f ca="1">SUM(CMO!T129)</f>
        <v>0</v>
      </c>
      <c r="M129" s="115"/>
      <c r="N129" s="71"/>
      <c r="O129" s="121">
        <f t="shared" si="13"/>
        <v>120000</v>
      </c>
      <c r="P129" s="121">
        <f t="shared" si="14"/>
        <v>80153</v>
      </c>
      <c r="Q129" s="71"/>
    </row>
    <row r="130" spans="1:17" outlineLevel="1">
      <c r="A130" s="33" t="s">
        <v>60</v>
      </c>
      <c r="B130" s="33" t="s">
        <v>61</v>
      </c>
      <c r="C130" s="103">
        <f ca="1">SUM(CAMP!BN130)</f>
        <v>69949</v>
      </c>
      <c r="D130" s="103">
        <f>92836+22578</f>
        <v>115414</v>
      </c>
      <c r="E130" s="71"/>
      <c r="F130" s="129">
        <f ca="1">SUM(OLIVIER!AN130)</f>
        <v>158750</v>
      </c>
      <c r="G130" s="129">
        <f>26122+124652</f>
        <v>150774</v>
      </c>
      <c r="H130" s="71"/>
      <c r="I130" s="109">
        <f ca="1">SUM(JEFF!AZ130)</f>
        <v>26000</v>
      </c>
      <c r="J130" s="109"/>
      <c r="K130" s="71"/>
      <c r="L130" s="115">
        <f ca="1">SUM(CMO!T130)</f>
        <v>0</v>
      </c>
      <c r="M130" s="115">
        <v>4793</v>
      </c>
      <c r="N130" s="71"/>
      <c r="O130" s="121">
        <f t="shared" si="13"/>
        <v>254699</v>
      </c>
      <c r="P130" s="121">
        <f t="shared" si="14"/>
        <v>270981</v>
      </c>
      <c r="Q130" s="71"/>
    </row>
    <row r="131" spans="1:17" outlineLevel="1">
      <c r="A131" s="33" t="s">
        <v>448</v>
      </c>
      <c r="B131" s="33" t="s">
        <v>449</v>
      </c>
      <c r="C131" s="103">
        <f ca="1">SUM(CAMP!BN131)</f>
        <v>408940</v>
      </c>
      <c r="D131" s="103"/>
      <c r="E131" s="71"/>
      <c r="F131" s="129">
        <f ca="1">SUM(OLIVIER!AN131)</f>
        <v>131920</v>
      </c>
      <c r="G131" s="129">
        <v>61538</v>
      </c>
      <c r="H131" s="71"/>
      <c r="I131" s="109">
        <f ca="1">SUM(JEFF!AZ131)</f>
        <v>188490</v>
      </c>
      <c r="J131" s="109"/>
      <c r="K131" s="71"/>
      <c r="L131" s="115">
        <f ca="1">SUM(CMO!T131)</f>
        <v>0</v>
      </c>
      <c r="M131" s="115"/>
      <c r="N131" s="71"/>
      <c r="O131" s="121">
        <f t="shared" si="13"/>
        <v>729350</v>
      </c>
      <c r="P131" s="121">
        <f t="shared" si="14"/>
        <v>61538</v>
      </c>
      <c r="Q131" s="71"/>
    </row>
    <row r="132" spans="1:17" outlineLevel="1">
      <c r="A132" s="33" t="s">
        <v>62</v>
      </c>
      <c r="B132" s="33" t="s">
        <v>249</v>
      </c>
      <c r="C132" s="104">
        <f ca="1">SUM(CAMP!BN132)</f>
        <v>23380</v>
      </c>
      <c r="D132" s="104">
        <v>20586</v>
      </c>
      <c r="E132" s="71"/>
      <c r="F132" s="130">
        <f ca="1">SUM(OLIVIER!AN132)</f>
        <v>1500</v>
      </c>
      <c r="G132" s="130">
        <v>1330</v>
      </c>
      <c r="H132" s="71"/>
      <c r="I132" s="110">
        <f ca="1">SUM(JEFF!AZ132)</f>
        <v>23380</v>
      </c>
      <c r="J132" s="110"/>
      <c r="K132" s="71"/>
      <c r="L132" s="116">
        <f ca="1">SUM(CMO!T132)</f>
        <v>0</v>
      </c>
      <c r="M132" s="116"/>
      <c r="N132" s="71"/>
      <c r="O132" s="122">
        <f t="shared" si="13"/>
        <v>48260</v>
      </c>
      <c r="P132" s="122">
        <f t="shared" si="14"/>
        <v>21916</v>
      </c>
      <c r="Q132" s="71"/>
    </row>
    <row r="133" spans="1:17">
      <c r="B133" s="33" t="s">
        <v>250</v>
      </c>
      <c r="C133" s="102">
        <f>SUM(C125:C132)</f>
        <v>569315.36363636365</v>
      </c>
      <c r="D133" s="102">
        <f>SUM(D125:D132)</f>
        <v>211886</v>
      </c>
      <c r="E133" s="71"/>
      <c r="F133" s="128">
        <f>SUM(F125:F132)</f>
        <v>325297.27272727271</v>
      </c>
      <c r="G133" s="128">
        <f>SUM(G125:G132)</f>
        <v>242846</v>
      </c>
      <c r="H133" s="71"/>
      <c r="I133" s="108">
        <f>SUM(I125:I132)</f>
        <v>295670</v>
      </c>
      <c r="J133" s="108">
        <f>SUM(J125:J132)</f>
        <v>0</v>
      </c>
      <c r="K133" s="71"/>
      <c r="L133" s="114">
        <f>SUM(L125:L132)</f>
        <v>720</v>
      </c>
      <c r="M133" s="114">
        <f>SUM(M125:M132)</f>
        <v>4959</v>
      </c>
      <c r="N133" s="71"/>
      <c r="O133" s="120">
        <f>SUM(O125:O132)</f>
        <v>1191002.6363636362</v>
      </c>
      <c r="P133" s="120">
        <f>SUM(P125:P132)</f>
        <v>459691</v>
      </c>
      <c r="Q133" s="71"/>
    </row>
    <row r="134" spans="1:17" outlineLevel="1">
      <c r="C134" s="102"/>
      <c r="D134" s="102"/>
      <c r="E134" s="71"/>
      <c r="F134" s="128"/>
      <c r="G134" s="128"/>
      <c r="H134" s="71"/>
      <c r="I134" s="108"/>
      <c r="J134" s="108"/>
      <c r="K134" s="71"/>
      <c r="L134" s="114"/>
      <c r="M134" s="114"/>
      <c r="N134" s="71"/>
      <c r="O134" s="120"/>
      <c r="P134" s="120"/>
      <c r="Q134" s="71"/>
    </row>
    <row r="135" spans="1:17" outlineLevel="1">
      <c r="A135" s="33" t="s">
        <v>251</v>
      </c>
      <c r="C135" s="102"/>
      <c r="D135" s="102"/>
      <c r="E135" s="71"/>
      <c r="F135" s="128"/>
      <c r="G135" s="128"/>
      <c r="H135" s="71"/>
      <c r="I135" s="108"/>
      <c r="J135" s="108"/>
      <c r="K135" s="71"/>
      <c r="L135" s="114"/>
      <c r="M135" s="114"/>
      <c r="N135" s="71"/>
      <c r="O135" s="120"/>
      <c r="P135" s="120"/>
      <c r="Q135" s="71"/>
    </row>
    <row r="136" spans="1:17" outlineLevel="1">
      <c r="A136" s="33" t="s">
        <v>252</v>
      </c>
      <c r="C136" s="102"/>
      <c r="D136" s="102"/>
      <c r="E136" s="71"/>
      <c r="F136" s="128"/>
      <c r="G136" s="128"/>
      <c r="H136" s="71"/>
      <c r="I136" s="108"/>
      <c r="J136" s="108"/>
      <c r="K136" s="71"/>
      <c r="L136" s="114"/>
      <c r="M136" s="114"/>
      <c r="N136" s="71"/>
      <c r="O136" s="120"/>
      <c r="P136" s="120"/>
      <c r="Q136" s="71"/>
    </row>
    <row r="137" spans="1:17" outlineLevel="1">
      <c r="A137" s="33" t="s">
        <v>63</v>
      </c>
      <c r="B137" s="33" t="s">
        <v>253</v>
      </c>
      <c r="C137" s="103">
        <f ca="1">SUM(CAMP!BN137)</f>
        <v>0</v>
      </c>
      <c r="D137" s="103">
        <v>8202</v>
      </c>
      <c r="E137" s="71"/>
      <c r="F137" s="129">
        <f ca="1">SUM(OLIVIER!AN137)</f>
        <v>0</v>
      </c>
      <c r="G137" s="129">
        <v>8202</v>
      </c>
      <c r="H137" s="71"/>
      <c r="I137" s="109">
        <f ca="1">SUM(JEFF!AZ137)</f>
        <v>0</v>
      </c>
      <c r="J137" s="109"/>
      <c r="K137" s="71"/>
      <c r="L137" s="115">
        <f ca="1">SUM(CMO!T137)</f>
        <v>24871.25</v>
      </c>
      <c r="M137" s="115">
        <v>5752</v>
      </c>
      <c r="N137" s="71"/>
      <c r="O137" s="121">
        <f t="shared" ref="O137:P140" si="15">SUM(C137+F137+I137+L137)</f>
        <v>24871.25</v>
      </c>
      <c r="P137" s="121">
        <f t="shared" si="15"/>
        <v>22156</v>
      </c>
      <c r="Q137" s="71"/>
    </row>
    <row r="138" spans="1:17" outlineLevel="1">
      <c r="A138" s="33" t="s">
        <v>64</v>
      </c>
      <c r="B138" s="33" t="s">
        <v>254</v>
      </c>
      <c r="C138" s="103">
        <f ca="1">SUM(CAMP!BN138)</f>
        <v>120122.97500000001</v>
      </c>
      <c r="D138" s="103">
        <v>39962</v>
      </c>
      <c r="E138" s="71"/>
      <c r="F138" s="129">
        <f ca="1">SUM(OLIVIER!AN138)</f>
        <v>29315.550000000003</v>
      </c>
      <c r="G138" s="129">
        <v>24640</v>
      </c>
      <c r="H138" s="71"/>
      <c r="I138" s="109">
        <f ca="1">SUM(JEFF!AZ138)</f>
        <v>72857.262499999997</v>
      </c>
      <c r="J138" s="109"/>
      <c r="K138" s="71"/>
      <c r="L138" s="115">
        <f ca="1">SUM(CMO!T138)</f>
        <v>0</v>
      </c>
      <c r="M138" s="115">
        <v>15989</v>
      </c>
      <c r="N138" s="71"/>
      <c r="O138" s="121">
        <f t="shared" si="15"/>
        <v>222295.78750000003</v>
      </c>
      <c r="P138" s="121">
        <f t="shared" si="15"/>
        <v>80591</v>
      </c>
      <c r="Q138" s="71"/>
    </row>
    <row r="139" spans="1:17" outlineLevel="1">
      <c r="A139" s="33" t="s">
        <v>454</v>
      </c>
      <c r="B139" s="33" t="s">
        <v>455</v>
      </c>
      <c r="C139" s="103">
        <f ca="1">SUM(CAMP!BN139)</f>
        <v>0</v>
      </c>
      <c r="D139" s="103"/>
      <c r="E139" s="71"/>
      <c r="F139" s="129">
        <f ca="1">SUM(OLIVIER!AN139)</f>
        <v>0</v>
      </c>
      <c r="G139" s="129"/>
      <c r="H139" s="71"/>
      <c r="I139" s="109">
        <f ca="1">SUM(JEFF!AZ139)</f>
        <v>0</v>
      </c>
      <c r="J139" s="109"/>
      <c r="K139" s="71"/>
      <c r="L139" s="115">
        <f ca="1">SUM(CMO!T139)</f>
        <v>7199.85</v>
      </c>
      <c r="M139" s="115">
        <v>5278</v>
      </c>
      <c r="N139" s="71"/>
      <c r="O139" s="121">
        <f t="shared" si="15"/>
        <v>7199.85</v>
      </c>
      <c r="P139" s="121">
        <f t="shared" si="15"/>
        <v>5278</v>
      </c>
      <c r="Q139" s="71"/>
    </row>
    <row r="140" spans="1:17" outlineLevel="1">
      <c r="A140" s="33" t="s">
        <v>65</v>
      </c>
      <c r="B140" s="33" t="s">
        <v>255</v>
      </c>
      <c r="C140" s="104">
        <f ca="1">SUM(CAMP!BN140)</f>
        <v>0</v>
      </c>
      <c r="D140" s="104">
        <v>1724</v>
      </c>
      <c r="E140" s="71"/>
      <c r="F140" s="130">
        <f ca="1">SUM(OLIVIER!AN140)</f>
        <v>0</v>
      </c>
      <c r="G140" s="130"/>
      <c r="H140" s="71"/>
      <c r="I140" s="110">
        <f ca="1">SUM(JEFF!AZ140)</f>
        <v>0</v>
      </c>
      <c r="J140" s="110"/>
      <c r="K140" s="71"/>
      <c r="L140" s="116">
        <f ca="1">SUM(CMO!T140)</f>
        <v>4200</v>
      </c>
      <c r="M140" s="116">
        <v>2424</v>
      </c>
      <c r="N140" s="71"/>
      <c r="O140" s="122">
        <f t="shared" si="15"/>
        <v>4200</v>
      </c>
      <c r="P140" s="122">
        <f t="shared" si="15"/>
        <v>4148</v>
      </c>
      <c r="Q140" s="71"/>
    </row>
    <row r="141" spans="1:17">
      <c r="B141" s="33" t="s">
        <v>256</v>
      </c>
      <c r="C141" s="102">
        <f>SUM(C137:C140)</f>
        <v>120122.97500000001</v>
      </c>
      <c r="D141" s="102">
        <f>SUM(D137:D140)</f>
        <v>49888</v>
      </c>
      <c r="E141" s="71"/>
      <c r="F141" s="128">
        <f>SUM(F137:F140)</f>
        <v>29315.550000000003</v>
      </c>
      <c r="G141" s="128">
        <f>SUM(G137:G140)</f>
        <v>32842</v>
      </c>
      <c r="H141" s="71"/>
      <c r="I141" s="108">
        <f>SUM(I137:I140)</f>
        <v>72857.262499999997</v>
      </c>
      <c r="J141" s="108">
        <f>SUM(J137:J140)</f>
        <v>0</v>
      </c>
      <c r="K141" s="71"/>
      <c r="L141" s="114">
        <f>SUM(L137:L140)</f>
        <v>36271.1</v>
      </c>
      <c r="M141" s="114">
        <f>SUM(M137:M140)</f>
        <v>29443</v>
      </c>
      <c r="N141" s="71"/>
      <c r="O141" s="120">
        <f>SUM(O137:O140)</f>
        <v>258566.88750000004</v>
      </c>
      <c r="P141" s="120">
        <f>SUM(P137:P140)</f>
        <v>112173</v>
      </c>
      <c r="Q141" s="71"/>
    </row>
    <row r="142" spans="1:17" outlineLevel="1">
      <c r="C142" s="102"/>
      <c r="D142" s="102"/>
      <c r="E142" s="71"/>
      <c r="F142" s="128"/>
      <c r="G142" s="128"/>
      <c r="H142" s="71"/>
      <c r="I142" s="108"/>
      <c r="J142" s="108"/>
      <c r="K142" s="71"/>
      <c r="L142" s="114"/>
      <c r="M142" s="114"/>
      <c r="N142" s="71"/>
      <c r="O142" s="120"/>
      <c r="P142" s="120"/>
      <c r="Q142" s="71"/>
    </row>
    <row r="143" spans="1:17" outlineLevel="1">
      <c r="A143" s="33" t="s">
        <v>257</v>
      </c>
      <c r="C143" s="102"/>
      <c r="D143" s="102"/>
      <c r="E143" s="71"/>
      <c r="F143" s="128"/>
      <c r="G143" s="128"/>
      <c r="H143" s="71"/>
      <c r="I143" s="108"/>
      <c r="J143" s="108"/>
      <c r="K143" s="71"/>
      <c r="L143" s="114"/>
      <c r="M143" s="114"/>
      <c r="N143" s="71"/>
      <c r="O143" s="120"/>
      <c r="P143" s="120"/>
      <c r="Q143" s="71"/>
    </row>
    <row r="144" spans="1:17" outlineLevel="1">
      <c r="A144" s="33" t="s">
        <v>66</v>
      </c>
      <c r="B144" s="33" t="s">
        <v>258</v>
      </c>
      <c r="C144" s="103">
        <f ca="1">SUM(CAMP!BN144)</f>
        <v>4496.3999999999996</v>
      </c>
      <c r="D144" s="103"/>
      <c r="E144" s="71"/>
      <c r="F144" s="129">
        <f ca="1">SUM(OLIVIER!AN144)</f>
        <v>2622.9</v>
      </c>
      <c r="G144" s="129"/>
      <c r="H144" s="71"/>
      <c r="I144" s="109">
        <f ca="1">SUM(JEFF!AZ144)</f>
        <v>5245.8</v>
      </c>
      <c r="J144" s="109"/>
      <c r="K144" s="71"/>
      <c r="L144" s="115">
        <f ca="1">SUM(CMO!T144)</f>
        <v>5248.8</v>
      </c>
      <c r="M144" s="115">
        <v>13120</v>
      </c>
      <c r="N144" s="71"/>
      <c r="O144" s="121">
        <f t="shared" ref="O144:O149" si="16">SUM(C144+F144+I144+L144)</f>
        <v>17613.899999999998</v>
      </c>
      <c r="P144" s="121">
        <f t="shared" ref="P144:P149" si="17">SUM(D144+G144+J144+M144)</f>
        <v>13120</v>
      </c>
      <c r="Q144" s="71"/>
    </row>
    <row r="145" spans="1:17" outlineLevel="1">
      <c r="A145" s="33" t="s">
        <v>67</v>
      </c>
      <c r="B145" s="33" t="s">
        <v>259</v>
      </c>
      <c r="C145" s="103">
        <f ca="1">SUM(CAMP!BN145)</f>
        <v>0</v>
      </c>
      <c r="D145" s="103"/>
      <c r="E145" s="71"/>
      <c r="F145" s="129">
        <f ca="1">SUM(OLIVIER!AN145)</f>
        <v>0</v>
      </c>
      <c r="G145" s="129"/>
      <c r="H145" s="71"/>
      <c r="I145" s="109">
        <f ca="1">SUM(JEFF!AZ145)</f>
        <v>0</v>
      </c>
      <c r="J145" s="109"/>
      <c r="K145" s="71"/>
      <c r="L145" s="115">
        <f ca="1">SUM(CMO!T145)</f>
        <v>0</v>
      </c>
      <c r="M145" s="115"/>
      <c r="N145" s="71"/>
      <c r="O145" s="121">
        <f t="shared" si="16"/>
        <v>0</v>
      </c>
      <c r="P145" s="121">
        <f t="shared" si="17"/>
        <v>0</v>
      </c>
      <c r="Q145" s="71"/>
    </row>
    <row r="146" spans="1:17" outlineLevel="1">
      <c r="A146" s="33" t="s">
        <v>68</v>
      </c>
      <c r="B146" s="33" t="s">
        <v>260</v>
      </c>
      <c r="C146" s="103">
        <f ca="1">SUM(CAMP!BN146)</f>
        <v>8028</v>
      </c>
      <c r="D146" s="103">
        <v>2479</v>
      </c>
      <c r="E146" s="71"/>
      <c r="F146" s="129">
        <f ca="1">SUM(OLIVIER!AN146)</f>
        <v>7740</v>
      </c>
      <c r="G146" s="129">
        <v>2049</v>
      </c>
      <c r="H146" s="71"/>
      <c r="I146" s="109">
        <f ca="1">SUM(JEFF!AZ146)</f>
        <v>5925</v>
      </c>
      <c r="J146" s="109"/>
      <c r="K146" s="71"/>
      <c r="L146" s="115">
        <f ca="1">SUM(CMO!T146)</f>
        <v>8532</v>
      </c>
      <c r="M146" s="115">
        <v>9673</v>
      </c>
      <c r="N146" s="71"/>
      <c r="O146" s="121">
        <f t="shared" si="16"/>
        <v>30225</v>
      </c>
      <c r="P146" s="121">
        <f t="shared" si="17"/>
        <v>14201</v>
      </c>
      <c r="Q146" s="71"/>
    </row>
    <row r="147" spans="1:17" outlineLevel="1">
      <c r="A147" s="33" t="s">
        <v>69</v>
      </c>
      <c r="B147" s="33" t="s">
        <v>261</v>
      </c>
      <c r="C147" s="103">
        <f ca="1">SUM(CAMP!BN147)</f>
        <v>10560</v>
      </c>
      <c r="D147" s="103"/>
      <c r="E147" s="71"/>
      <c r="F147" s="129">
        <f ca="1">SUM(OLIVIER!AN147)</f>
        <v>6600</v>
      </c>
      <c r="G147" s="129"/>
      <c r="H147" s="71"/>
      <c r="I147" s="109">
        <f ca="1">SUM(JEFF!AZ147)</f>
        <v>6600</v>
      </c>
      <c r="J147" s="109"/>
      <c r="K147" s="71"/>
      <c r="L147" s="115">
        <f ca="1">SUM(CMO!T147)</f>
        <v>2640</v>
      </c>
      <c r="M147" s="115">
        <v>18975</v>
      </c>
      <c r="N147" s="71"/>
      <c r="O147" s="121">
        <f t="shared" si="16"/>
        <v>26400</v>
      </c>
      <c r="P147" s="121">
        <f t="shared" si="17"/>
        <v>18975</v>
      </c>
      <c r="Q147" s="71"/>
    </row>
    <row r="148" spans="1:17" ht="12" customHeight="1" outlineLevel="1">
      <c r="A148" s="33" t="s">
        <v>70</v>
      </c>
      <c r="B148" s="33" t="s">
        <v>262</v>
      </c>
      <c r="C148" s="103">
        <f ca="1">SUM(CAMP!BN148)</f>
        <v>3600</v>
      </c>
      <c r="D148" s="103">
        <v>3035</v>
      </c>
      <c r="E148" s="71"/>
      <c r="F148" s="129">
        <f ca="1">SUM(OLIVIER!AN148)</f>
        <v>600</v>
      </c>
      <c r="G148" s="129">
        <v>190</v>
      </c>
      <c r="H148" s="71"/>
      <c r="I148" s="109">
        <f ca="1">SUM(JEFF!AZ148)</f>
        <v>3600</v>
      </c>
      <c r="J148" s="109"/>
      <c r="K148" s="71"/>
      <c r="L148" s="115">
        <f ca="1">SUM(CMO!T148)</f>
        <v>3476</v>
      </c>
      <c r="M148" s="115">
        <v>1832</v>
      </c>
      <c r="N148" s="71"/>
      <c r="O148" s="121">
        <f t="shared" si="16"/>
        <v>11276</v>
      </c>
      <c r="P148" s="121">
        <f t="shared" si="17"/>
        <v>5057</v>
      </c>
      <c r="Q148" s="71"/>
    </row>
    <row r="149" spans="1:17" outlineLevel="1">
      <c r="A149" s="33" t="s">
        <v>462</v>
      </c>
      <c r="B149" s="33" t="s">
        <v>464</v>
      </c>
      <c r="C149" s="104">
        <f ca="1">SUM(CAMP!BN149)</f>
        <v>9782</v>
      </c>
      <c r="D149" s="104">
        <v>301</v>
      </c>
      <c r="E149" s="71"/>
      <c r="F149" s="130">
        <f ca="1">SUM(OLIVIER!AN149)</f>
        <v>6113.75</v>
      </c>
      <c r="G149" s="130">
        <v>313</v>
      </c>
      <c r="H149" s="71"/>
      <c r="I149" s="110">
        <f ca="1">SUM(JEFF!AZ149)</f>
        <v>6113.75</v>
      </c>
      <c r="J149" s="110"/>
      <c r="K149" s="71"/>
      <c r="L149" s="116">
        <f ca="1">SUM(CMO!T149)</f>
        <v>6305.5</v>
      </c>
      <c r="M149" s="116">
        <v>0</v>
      </c>
      <c r="N149" s="71"/>
      <c r="O149" s="122">
        <f t="shared" si="16"/>
        <v>28315</v>
      </c>
      <c r="P149" s="122">
        <f t="shared" si="17"/>
        <v>614</v>
      </c>
      <c r="Q149" s="71"/>
    </row>
    <row r="150" spans="1:17">
      <c r="B150" s="33" t="s">
        <v>263</v>
      </c>
      <c r="C150" s="102">
        <f>SUM(C144:C149)</f>
        <v>36466.400000000001</v>
      </c>
      <c r="D150" s="102">
        <f>SUM(D144:D149)</f>
        <v>5815</v>
      </c>
      <c r="E150" s="71"/>
      <c r="F150" s="128">
        <f>SUM(F144:F149)</f>
        <v>23676.65</v>
      </c>
      <c r="G150" s="128">
        <f>SUM(G144:G149)</f>
        <v>2552</v>
      </c>
      <c r="H150" s="71"/>
      <c r="I150" s="108">
        <f>SUM(I144:I149)</f>
        <v>27484.55</v>
      </c>
      <c r="J150" s="108">
        <f>SUM(J144:J149)</f>
        <v>0</v>
      </c>
      <c r="K150" s="71"/>
      <c r="L150" s="114">
        <f>SUM(L144:L149)</f>
        <v>26202.3</v>
      </c>
      <c r="M150" s="114">
        <f>SUM(M144:M149)</f>
        <v>43600</v>
      </c>
      <c r="N150" s="71"/>
      <c r="O150" s="120">
        <f>SUM(O144:O149)</f>
        <v>113829.9</v>
      </c>
      <c r="P150" s="120">
        <f>SUM(P144:P149)</f>
        <v>51967</v>
      </c>
      <c r="Q150" s="71"/>
    </row>
    <row r="151" spans="1:17" outlineLevel="1">
      <c r="C151" s="102"/>
      <c r="D151" s="102"/>
      <c r="E151" s="71"/>
      <c r="F151" s="128"/>
      <c r="G151" s="128"/>
      <c r="H151" s="71"/>
      <c r="I151" s="108"/>
      <c r="J151" s="108"/>
      <c r="K151" s="71"/>
      <c r="L151" s="114"/>
      <c r="M151" s="114"/>
      <c r="N151" s="71"/>
      <c r="O151" s="120"/>
      <c r="P151" s="120"/>
      <c r="Q151" s="71"/>
    </row>
    <row r="152" spans="1:17" outlineLevel="1">
      <c r="A152" s="33" t="s">
        <v>264</v>
      </c>
      <c r="C152" s="102"/>
      <c r="D152" s="102"/>
      <c r="E152" s="71"/>
      <c r="F152" s="128"/>
      <c r="G152" s="128"/>
      <c r="H152" s="71"/>
      <c r="I152" s="108"/>
      <c r="J152" s="108"/>
      <c r="K152" s="71"/>
      <c r="L152" s="114"/>
      <c r="M152" s="114"/>
      <c r="N152" s="71"/>
      <c r="O152" s="120"/>
      <c r="P152" s="120"/>
      <c r="Q152" s="71"/>
    </row>
    <row r="153" spans="1:17" outlineLevel="1">
      <c r="A153" s="33" t="s">
        <v>265</v>
      </c>
      <c r="C153" s="102"/>
      <c r="D153" s="102"/>
      <c r="E153" s="71"/>
      <c r="F153" s="128"/>
      <c r="G153" s="128"/>
      <c r="H153" s="71"/>
      <c r="I153" s="108"/>
      <c r="J153" s="108"/>
      <c r="K153" s="71"/>
      <c r="L153" s="114"/>
      <c r="M153" s="114"/>
      <c r="N153" s="71"/>
      <c r="O153" s="120"/>
      <c r="P153" s="120"/>
      <c r="Q153" s="71"/>
    </row>
    <row r="154" spans="1:17" outlineLevel="1">
      <c r="A154" s="33" t="s">
        <v>71</v>
      </c>
      <c r="B154" s="33" t="s">
        <v>72</v>
      </c>
      <c r="C154" s="104">
        <f ca="1">SUM(CAMP!BN154)</f>
        <v>13348.484848484848</v>
      </c>
      <c r="D154" s="104">
        <v>2430</v>
      </c>
      <c r="E154" s="71"/>
      <c r="F154" s="130">
        <f ca="1">SUM(OLIVIER!AN154)</f>
        <v>9433.0303030303039</v>
      </c>
      <c r="G154" s="130">
        <v>1060</v>
      </c>
      <c r="H154" s="71"/>
      <c r="I154" s="110">
        <f ca="1">SUM(JEFF!AZ154)</f>
        <v>8375</v>
      </c>
      <c r="J154" s="110"/>
      <c r="K154" s="71"/>
      <c r="L154" s="116">
        <f ca="1">SUM(CMO!T154)</f>
        <v>25750</v>
      </c>
      <c r="M154" s="116">
        <v>21915</v>
      </c>
      <c r="N154" s="71"/>
      <c r="O154" s="122">
        <f>SUM(C154+F154+I154+L154)</f>
        <v>56906.515151515152</v>
      </c>
      <c r="P154" s="122">
        <f>SUM(D154+G154+J154+M154)</f>
        <v>25405</v>
      </c>
      <c r="Q154" s="71"/>
    </row>
    <row r="155" spans="1:17">
      <c r="B155" s="33" t="s">
        <v>266</v>
      </c>
      <c r="C155" s="102">
        <f>SUM(C154)</f>
        <v>13348.484848484848</v>
      </c>
      <c r="D155" s="102">
        <f>SUM(D154)</f>
        <v>2430</v>
      </c>
      <c r="E155" s="71"/>
      <c r="F155" s="128">
        <f>SUM(F154)</f>
        <v>9433.0303030303039</v>
      </c>
      <c r="G155" s="128">
        <f>SUM(G154)</f>
        <v>1060</v>
      </c>
      <c r="H155" s="71"/>
      <c r="I155" s="108">
        <f>SUM(I154)</f>
        <v>8375</v>
      </c>
      <c r="J155" s="108">
        <f>SUM(J154)</f>
        <v>0</v>
      </c>
      <c r="K155" s="71"/>
      <c r="L155" s="114">
        <f>SUM(L154)</f>
        <v>25750</v>
      </c>
      <c r="M155" s="114">
        <f>SUM(M154)</f>
        <v>21915</v>
      </c>
      <c r="N155" s="71"/>
      <c r="O155" s="120">
        <f>SUM(O154)</f>
        <v>56906.515151515152</v>
      </c>
      <c r="P155" s="120">
        <f>SUM(P154)</f>
        <v>25405</v>
      </c>
      <c r="Q155" s="71"/>
    </row>
    <row r="156" spans="1:17" outlineLevel="1">
      <c r="C156" s="102"/>
      <c r="D156" s="102"/>
      <c r="E156" s="71"/>
      <c r="F156" s="128"/>
      <c r="G156" s="128"/>
      <c r="H156" s="71"/>
      <c r="I156" s="108"/>
      <c r="J156" s="108"/>
      <c r="K156" s="71"/>
      <c r="L156" s="114"/>
      <c r="M156" s="114"/>
      <c r="N156" s="71"/>
      <c r="O156" s="120"/>
      <c r="P156" s="120"/>
      <c r="Q156" s="71"/>
    </row>
    <row r="157" spans="1:17" outlineLevel="1">
      <c r="A157" s="33" t="s">
        <v>267</v>
      </c>
      <c r="C157" s="102"/>
      <c r="D157" s="102"/>
      <c r="E157" s="71"/>
      <c r="F157" s="128"/>
      <c r="G157" s="128"/>
      <c r="H157" s="71"/>
      <c r="I157" s="108"/>
      <c r="J157" s="108"/>
      <c r="K157" s="71"/>
      <c r="L157" s="114"/>
      <c r="M157" s="114"/>
      <c r="N157" s="71"/>
      <c r="O157" s="120"/>
      <c r="P157" s="120"/>
      <c r="Q157" s="71"/>
    </row>
    <row r="158" spans="1:17" outlineLevel="1">
      <c r="A158" s="33" t="s">
        <v>73</v>
      </c>
      <c r="B158" s="33" t="s">
        <v>74</v>
      </c>
      <c r="C158" s="103">
        <f ca="1">SUM(CAMP!BN158)</f>
        <v>146969.0303030303</v>
      </c>
      <c r="D158" s="103">
        <v>126101</v>
      </c>
      <c r="E158" s="71"/>
      <c r="F158" s="129">
        <f ca="1">SUM(OLIVIER!AN158)</f>
        <v>86542.939393939392</v>
      </c>
      <c r="G158" s="129">
        <v>53943</v>
      </c>
      <c r="H158" s="71"/>
      <c r="I158" s="109">
        <f ca="1">SUM(JEFF!AZ158)</f>
        <v>132036.70000000001</v>
      </c>
      <c r="J158" s="109"/>
      <c r="K158" s="71"/>
      <c r="L158" s="115">
        <f ca="1">SUM(CMO!T158)</f>
        <v>40655</v>
      </c>
      <c r="M158" s="115">
        <v>41309</v>
      </c>
      <c r="N158" s="71"/>
      <c r="O158" s="121">
        <f t="shared" ref="O158:O170" si="18">SUM(C158+F158+I158+L158)</f>
        <v>406203.66969696968</v>
      </c>
      <c r="P158" s="121">
        <f t="shared" ref="P158:P170" si="19">SUM(D158+G158+J158+M158)</f>
        <v>221353</v>
      </c>
      <c r="Q158" s="71"/>
    </row>
    <row r="159" spans="1:17" outlineLevel="1">
      <c r="A159" s="33" t="s">
        <v>75</v>
      </c>
      <c r="B159" s="33" t="s">
        <v>154</v>
      </c>
      <c r="C159" s="103">
        <f ca="1">SUM(CAMP!BN159)</f>
        <v>10725</v>
      </c>
      <c r="D159" s="103">
        <v>3751</v>
      </c>
      <c r="E159" s="71"/>
      <c r="F159" s="129">
        <f ca="1">SUM(OLIVIER!AN159)</f>
        <v>5725</v>
      </c>
      <c r="G159" s="129">
        <v>10590</v>
      </c>
      <c r="H159" s="71"/>
      <c r="I159" s="109">
        <f ca="1">SUM(JEFF!AZ159)</f>
        <v>11225</v>
      </c>
      <c r="J159" s="109"/>
      <c r="K159" s="71"/>
      <c r="L159" s="115">
        <f ca="1">SUM(CMO!T159)</f>
        <v>27400</v>
      </c>
      <c r="M159" s="115">
        <v>13719</v>
      </c>
      <c r="N159" s="71"/>
      <c r="O159" s="121">
        <f t="shared" si="18"/>
        <v>55075</v>
      </c>
      <c r="P159" s="121">
        <f t="shared" si="19"/>
        <v>28060</v>
      </c>
      <c r="Q159" s="71"/>
    </row>
    <row r="160" spans="1:17" outlineLevel="1">
      <c r="A160" s="33" t="s">
        <v>490</v>
      </c>
      <c r="B160" s="33" t="s">
        <v>97</v>
      </c>
      <c r="C160" s="103">
        <f ca="1">SUM(CAMP!BN160)</f>
        <v>2000</v>
      </c>
      <c r="D160" s="103">
        <v>15209</v>
      </c>
      <c r="E160" s="71"/>
      <c r="F160" s="129">
        <f ca="1">SUM(OLIVIER!AN160)</f>
        <v>5000</v>
      </c>
      <c r="G160" s="129">
        <v>91559</v>
      </c>
      <c r="H160" s="71"/>
      <c r="I160" s="109">
        <f ca="1">SUM(JEFF!AZ160)</f>
        <v>39100</v>
      </c>
      <c r="J160" s="109"/>
      <c r="K160" s="71"/>
      <c r="L160" s="115">
        <f ca="1">SUM(CMO!T160)</f>
        <v>0</v>
      </c>
      <c r="M160" s="115">
        <v>5740</v>
      </c>
      <c r="N160" s="71"/>
      <c r="O160" s="121">
        <f t="shared" si="18"/>
        <v>46100</v>
      </c>
      <c r="P160" s="121">
        <f t="shared" si="19"/>
        <v>112508</v>
      </c>
      <c r="Q160" s="71"/>
    </row>
    <row r="161" spans="1:17" outlineLevel="1">
      <c r="A161" s="33" t="s">
        <v>491</v>
      </c>
      <c r="B161" s="33" t="s">
        <v>458</v>
      </c>
      <c r="C161" s="103">
        <f ca="1">SUM(CAMP!BN161)</f>
        <v>960</v>
      </c>
      <c r="D161" s="103">
        <v>899</v>
      </c>
      <c r="E161" s="71"/>
      <c r="F161" s="129">
        <f ca="1">SUM(OLIVIER!AN161)</f>
        <v>600</v>
      </c>
      <c r="G161" s="129">
        <v>30</v>
      </c>
      <c r="H161" s="71"/>
      <c r="I161" s="109">
        <f ca="1">SUM(JEFF!AZ161)</f>
        <v>1280</v>
      </c>
      <c r="J161" s="109"/>
      <c r="K161" s="71"/>
      <c r="L161" s="115">
        <f ca="1">SUM(CMO!T161)</f>
        <v>240</v>
      </c>
      <c r="M161" s="115">
        <v>876</v>
      </c>
      <c r="N161" s="71"/>
      <c r="O161" s="121">
        <f t="shared" si="18"/>
        <v>3080</v>
      </c>
      <c r="P161" s="121">
        <f t="shared" si="19"/>
        <v>1805</v>
      </c>
      <c r="Q161" s="71"/>
    </row>
    <row r="162" spans="1:17" outlineLevel="1">
      <c r="A162" s="33" t="s">
        <v>492</v>
      </c>
      <c r="B162" s="33" t="s">
        <v>460</v>
      </c>
      <c r="C162" s="103">
        <f ca="1">SUM(CAMP!BN162)</f>
        <v>166607.54999999999</v>
      </c>
      <c r="D162" s="103">
        <v>30017</v>
      </c>
      <c r="E162" s="71"/>
      <c r="F162" s="129">
        <f ca="1">SUM(OLIVIER!AN162)</f>
        <v>148360</v>
      </c>
      <c r="G162" s="129">
        <v>43587</v>
      </c>
      <c r="H162" s="71"/>
      <c r="I162" s="109">
        <f ca="1">SUM(JEFF!AZ162)</f>
        <v>103410.09000000001</v>
      </c>
      <c r="J162" s="109"/>
      <c r="K162" s="71"/>
      <c r="L162" s="115">
        <f ca="1">SUM(CMO!T162)</f>
        <v>48513</v>
      </c>
      <c r="M162" s="115">
        <v>22722</v>
      </c>
      <c r="N162" s="71"/>
      <c r="O162" s="121">
        <f t="shared" si="18"/>
        <v>466890.64</v>
      </c>
      <c r="P162" s="121">
        <f t="shared" si="19"/>
        <v>96326</v>
      </c>
      <c r="Q162" s="71"/>
    </row>
    <row r="163" spans="1:17" outlineLevel="1">
      <c r="A163" s="33" t="s">
        <v>493</v>
      </c>
      <c r="B163" s="33" t="s">
        <v>453</v>
      </c>
      <c r="C163" s="103">
        <f ca="1">SUM(CAMP!BN163)</f>
        <v>0</v>
      </c>
      <c r="D163" s="103"/>
      <c r="E163" s="71"/>
      <c r="F163" s="129">
        <f ca="1">SUM(OLIVIER!AN163)</f>
        <v>0</v>
      </c>
      <c r="G163" s="129">
        <v>20</v>
      </c>
      <c r="H163" s="71"/>
      <c r="I163" s="109">
        <f ca="1">SUM(JEFF!AZ163)</f>
        <v>0</v>
      </c>
      <c r="J163" s="109"/>
      <c r="K163" s="71"/>
      <c r="L163" s="115">
        <f ca="1">SUM(CMO!T163)</f>
        <v>2200</v>
      </c>
      <c r="M163" s="115">
        <v>273</v>
      </c>
      <c r="N163" s="71"/>
      <c r="O163" s="121">
        <f t="shared" si="18"/>
        <v>2200</v>
      </c>
      <c r="P163" s="121">
        <f t="shared" si="19"/>
        <v>293</v>
      </c>
      <c r="Q163" s="71"/>
    </row>
    <row r="164" spans="1:17" outlineLevel="1">
      <c r="A164" s="33" t="s">
        <v>76</v>
      </c>
      <c r="B164" s="33" t="s">
        <v>155</v>
      </c>
      <c r="C164" s="103">
        <f ca="1">SUM(CAMP!BN164)</f>
        <v>168370.18181818182</v>
      </c>
      <c r="D164" s="103">
        <f>3647+143801</f>
        <v>147448</v>
      </c>
      <c r="E164" s="71"/>
      <c r="F164" s="129">
        <f ca="1">SUM(OLIVIER!AN164)</f>
        <v>48964.436363636356</v>
      </c>
      <c r="G164" s="129">
        <v>100</v>
      </c>
      <c r="H164" s="71"/>
      <c r="I164" s="109">
        <f ca="1">SUM(JEFF!AZ164)</f>
        <v>75176.800000000003</v>
      </c>
      <c r="J164" s="109"/>
      <c r="K164" s="71"/>
      <c r="L164" s="115">
        <f ca="1">SUM(CMO!T164)</f>
        <v>0</v>
      </c>
      <c r="M164" s="115">
        <f>169178-143801-25377</f>
        <v>0</v>
      </c>
      <c r="N164" s="71"/>
      <c r="O164" s="121">
        <f t="shared" si="18"/>
        <v>292511.41818181815</v>
      </c>
      <c r="P164" s="121">
        <f t="shared" si="19"/>
        <v>147548</v>
      </c>
      <c r="Q164" s="71"/>
    </row>
    <row r="165" spans="1:17" outlineLevel="1">
      <c r="A165" s="33" t="s">
        <v>79</v>
      </c>
      <c r="B165" s="33" t="s">
        <v>156</v>
      </c>
      <c r="C165" s="103">
        <f ca="1">SUM(CAMP!BN165)</f>
        <v>2000</v>
      </c>
      <c r="D165" s="103"/>
      <c r="E165" s="71"/>
      <c r="F165" s="129">
        <f ca="1">SUM(OLIVIER!AN165)</f>
        <v>300</v>
      </c>
      <c r="G165" s="129"/>
      <c r="H165" s="71"/>
      <c r="I165" s="109">
        <f ca="1">SUM(JEFF!AZ165)</f>
        <v>350</v>
      </c>
      <c r="J165" s="109"/>
      <c r="K165" s="71"/>
      <c r="L165" s="115">
        <f ca="1">SUM(CMO!T165)</f>
        <v>0</v>
      </c>
      <c r="M165" s="115"/>
      <c r="N165" s="71"/>
      <c r="O165" s="121">
        <f t="shared" si="18"/>
        <v>2650</v>
      </c>
      <c r="P165" s="121">
        <f t="shared" si="19"/>
        <v>0</v>
      </c>
      <c r="Q165" s="71"/>
    </row>
    <row r="166" spans="1:17" outlineLevel="1">
      <c r="A166" s="33" t="s">
        <v>78</v>
      </c>
      <c r="B166" s="33" t="s">
        <v>157</v>
      </c>
      <c r="C166" s="103">
        <f ca="1">SUM(CAMP!BN166)</f>
        <v>1000</v>
      </c>
      <c r="D166" s="103"/>
      <c r="E166" s="71"/>
      <c r="F166" s="129">
        <f ca="1">SUM(OLIVIER!AN166)</f>
        <v>150</v>
      </c>
      <c r="G166" s="129"/>
      <c r="H166" s="71"/>
      <c r="I166" s="109">
        <f ca="1">SUM(JEFF!AZ166)</f>
        <v>200</v>
      </c>
      <c r="J166" s="109"/>
      <c r="K166" s="71"/>
      <c r="L166" s="115">
        <f ca="1">SUM(CMO!T166)</f>
        <v>0</v>
      </c>
      <c r="M166" s="115"/>
      <c r="N166" s="71"/>
      <c r="O166" s="121">
        <f t="shared" si="18"/>
        <v>1350</v>
      </c>
      <c r="P166" s="121">
        <f t="shared" si="19"/>
        <v>0</v>
      </c>
      <c r="Q166" s="71"/>
    </row>
    <row r="167" spans="1:17" outlineLevel="1">
      <c r="A167" s="33" t="s">
        <v>77</v>
      </c>
      <c r="B167" s="33" t="s">
        <v>158</v>
      </c>
      <c r="C167" s="103">
        <f ca="1">SUM(CAMP!BN167)</f>
        <v>65300</v>
      </c>
      <c r="D167" s="103">
        <v>13976</v>
      </c>
      <c r="E167" s="71"/>
      <c r="F167" s="129">
        <f ca="1">SUM(OLIVIER!AN167)</f>
        <v>50350</v>
      </c>
      <c r="G167" s="129"/>
      <c r="H167" s="71"/>
      <c r="I167" s="109">
        <f ca="1">SUM(JEFF!AZ167)</f>
        <v>47475</v>
      </c>
      <c r="J167" s="109"/>
      <c r="K167" s="71"/>
      <c r="L167" s="115">
        <f ca="1">SUM(CMO!T167)</f>
        <v>450</v>
      </c>
      <c r="M167" s="115"/>
      <c r="N167" s="71"/>
      <c r="O167" s="121">
        <f t="shared" si="18"/>
        <v>163575</v>
      </c>
      <c r="P167" s="121">
        <f t="shared" si="19"/>
        <v>13976</v>
      </c>
      <c r="Q167" s="71"/>
    </row>
    <row r="168" spans="1:17" outlineLevel="1">
      <c r="A168" s="33" t="s">
        <v>80</v>
      </c>
      <c r="B168" s="33" t="s">
        <v>159</v>
      </c>
      <c r="C168" s="103">
        <f ca="1">SUM(CAMP!BN168)</f>
        <v>39950</v>
      </c>
      <c r="D168" s="103">
        <v>9539</v>
      </c>
      <c r="E168" s="71"/>
      <c r="F168" s="129">
        <f ca="1">SUM(OLIVIER!AN168)</f>
        <v>30125</v>
      </c>
      <c r="G168" s="129">
        <v>858</v>
      </c>
      <c r="H168" s="71"/>
      <c r="I168" s="109">
        <f ca="1">SUM(JEFF!AZ168)</f>
        <v>17950</v>
      </c>
      <c r="J168" s="109"/>
      <c r="K168" s="71"/>
      <c r="L168" s="115">
        <f ca="1">SUM(CMO!T168)</f>
        <v>1000</v>
      </c>
      <c r="M168" s="115"/>
      <c r="N168" s="71"/>
      <c r="O168" s="121">
        <f t="shared" si="18"/>
        <v>89025</v>
      </c>
      <c r="P168" s="121">
        <f t="shared" si="19"/>
        <v>10397</v>
      </c>
      <c r="Q168" s="71"/>
    </row>
    <row r="169" spans="1:17" outlineLevel="1">
      <c r="A169" s="33" t="s">
        <v>81</v>
      </c>
      <c r="B169" s="33" t="s">
        <v>160</v>
      </c>
      <c r="C169" s="103">
        <f ca="1">SUM(CAMP!BN169)</f>
        <v>728</v>
      </c>
      <c r="D169" s="103">
        <v>302</v>
      </c>
      <c r="E169" s="71"/>
      <c r="F169" s="129">
        <f ca="1">SUM(OLIVIER!AN169)</f>
        <v>728</v>
      </c>
      <c r="G169" s="129"/>
      <c r="H169" s="71"/>
      <c r="I169" s="109">
        <f ca="1">SUM(JEFF!AZ169)</f>
        <v>728</v>
      </c>
      <c r="J169" s="109"/>
      <c r="K169" s="71"/>
      <c r="L169" s="115">
        <f ca="1">SUM(CMO!T169)</f>
        <v>900</v>
      </c>
      <c r="M169" s="115">
        <v>50</v>
      </c>
      <c r="N169" s="71"/>
      <c r="O169" s="121">
        <f t="shared" si="18"/>
        <v>3084</v>
      </c>
      <c r="P169" s="121">
        <f t="shared" si="19"/>
        <v>352</v>
      </c>
      <c r="Q169" s="71"/>
    </row>
    <row r="170" spans="1:17" outlineLevel="1">
      <c r="A170" s="33" t="s">
        <v>161</v>
      </c>
      <c r="B170" s="33" t="s">
        <v>162</v>
      </c>
      <c r="C170" s="104">
        <f ca="1">SUM(CAMP!BN170)</f>
        <v>12200</v>
      </c>
      <c r="D170" s="104">
        <v>3022</v>
      </c>
      <c r="E170" s="71"/>
      <c r="F170" s="130">
        <f ca="1">SUM(OLIVIER!AN170)</f>
        <v>18300</v>
      </c>
      <c r="G170" s="130"/>
      <c r="H170" s="71"/>
      <c r="I170" s="110">
        <f ca="1">SUM(JEFF!AZ170)</f>
        <v>30500</v>
      </c>
      <c r="J170" s="110"/>
      <c r="K170" s="71"/>
      <c r="L170" s="116">
        <f ca="1">SUM(CMO!T170)</f>
        <v>0</v>
      </c>
      <c r="M170" s="116"/>
      <c r="N170" s="71"/>
      <c r="O170" s="122">
        <f t="shared" si="18"/>
        <v>61000</v>
      </c>
      <c r="P170" s="122">
        <f t="shared" si="19"/>
        <v>3022</v>
      </c>
      <c r="Q170" s="71"/>
    </row>
    <row r="171" spans="1:17">
      <c r="B171" s="33" t="s">
        <v>163</v>
      </c>
      <c r="C171" s="102">
        <f>SUM(C158:C170)</f>
        <v>616809.7621212122</v>
      </c>
      <c r="D171" s="102">
        <f>SUM(D158:D170)</f>
        <v>350264</v>
      </c>
      <c r="E171" s="71"/>
      <c r="F171" s="128">
        <f>SUM(F158:F170)</f>
        <v>395145.37575757573</v>
      </c>
      <c r="G171" s="128">
        <f>SUM(G158:G170)</f>
        <v>200687</v>
      </c>
      <c r="H171" s="71"/>
      <c r="I171" s="108">
        <f>SUM(I158:I170)</f>
        <v>459431.59</v>
      </c>
      <c r="J171" s="108">
        <f>SUM(J158:J170)</f>
        <v>0</v>
      </c>
      <c r="K171" s="71"/>
      <c r="L171" s="114">
        <f>SUM(L158:L170)</f>
        <v>121358</v>
      </c>
      <c r="M171" s="114">
        <f>SUM(M158:M170)</f>
        <v>84689</v>
      </c>
      <c r="N171" s="71"/>
      <c r="O171" s="120">
        <f>SUM(O158:O170)</f>
        <v>1592744.7278787878</v>
      </c>
      <c r="P171" s="120">
        <f>SUM(P158:P170)</f>
        <v>635640</v>
      </c>
      <c r="Q171" s="71"/>
    </row>
    <row r="172" spans="1:17" outlineLevel="1">
      <c r="C172" s="102"/>
      <c r="D172" s="102"/>
      <c r="E172" s="71"/>
      <c r="F172" s="128"/>
      <c r="G172" s="128"/>
      <c r="H172" s="71"/>
      <c r="I172" s="108"/>
      <c r="J172" s="108"/>
      <c r="K172" s="71"/>
      <c r="L172" s="114"/>
      <c r="M172" s="114"/>
      <c r="N172" s="71"/>
      <c r="O172" s="120"/>
      <c r="P172" s="120"/>
      <c r="Q172" s="71"/>
    </row>
    <row r="173" spans="1:17" outlineLevel="1">
      <c r="A173" s="33" t="s">
        <v>164</v>
      </c>
      <c r="C173" s="102"/>
      <c r="D173" s="102"/>
      <c r="E173" s="71"/>
      <c r="F173" s="128"/>
      <c r="G173" s="128"/>
      <c r="H173" s="71"/>
      <c r="I173" s="108"/>
      <c r="J173" s="108"/>
      <c r="K173" s="71"/>
      <c r="L173" s="114"/>
      <c r="M173" s="114"/>
      <c r="N173" s="71"/>
      <c r="O173" s="120"/>
      <c r="P173" s="120"/>
      <c r="Q173" s="71"/>
    </row>
    <row r="174" spans="1:17" outlineLevel="1">
      <c r="A174" s="33" t="s">
        <v>165</v>
      </c>
      <c r="C174" s="102"/>
      <c r="D174" s="102"/>
      <c r="E174" s="71"/>
      <c r="F174" s="128"/>
      <c r="G174" s="128"/>
      <c r="H174" s="71"/>
      <c r="I174" s="108"/>
      <c r="J174" s="108"/>
      <c r="K174" s="71"/>
      <c r="L174" s="114"/>
      <c r="M174" s="114"/>
      <c r="N174" s="71"/>
      <c r="O174" s="120"/>
      <c r="P174" s="120"/>
      <c r="Q174" s="71"/>
    </row>
    <row r="175" spans="1:17" outlineLevel="1">
      <c r="A175" s="33" t="s">
        <v>86</v>
      </c>
      <c r="B175" s="33" t="s">
        <v>85</v>
      </c>
      <c r="C175" s="103">
        <f ca="1">SUM(CAMP!BN175)</f>
        <v>924927.47727272729</v>
      </c>
      <c r="D175" s="103">
        <v>1190</v>
      </c>
      <c r="E175" s="71"/>
      <c r="F175" s="129">
        <f ca="1">SUM(OLIVIER!AN175)</f>
        <v>265505.19545454544</v>
      </c>
      <c r="G175" s="129">
        <v>128</v>
      </c>
      <c r="H175" s="71"/>
      <c r="I175" s="109">
        <f ca="1">SUM(JEFF!AZ175)</f>
        <v>484095.25</v>
      </c>
      <c r="J175" s="109"/>
      <c r="K175" s="71"/>
      <c r="L175" s="115">
        <f ca="1">SUM(CMO!T175)</f>
        <v>55663</v>
      </c>
      <c r="M175" s="115">
        <v>39559</v>
      </c>
      <c r="N175" s="71"/>
      <c r="O175" s="121">
        <f t="shared" ref="O175:O185" si="20">SUM(C175+F175+I175+L175)</f>
        <v>1730190.9227272728</v>
      </c>
      <c r="P175" s="121">
        <f t="shared" ref="P175:P185" si="21">SUM(D175+G175+J175+M175)</f>
        <v>40877</v>
      </c>
      <c r="Q175" s="71"/>
    </row>
    <row r="176" spans="1:17" outlineLevel="1">
      <c r="A176" s="33" t="s">
        <v>91</v>
      </c>
      <c r="B176" s="33" t="s">
        <v>92</v>
      </c>
      <c r="C176" s="103">
        <f ca="1">SUM(CAMP!BN176)</f>
        <v>0</v>
      </c>
      <c r="D176" s="103"/>
      <c r="E176" s="71"/>
      <c r="F176" s="129">
        <f ca="1">SUM(OLIVIER!AN176)</f>
        <v>0</v>
      </c>
      <c r="G176" s="129"/>
      <c r="H176" s="71"/>
      <c r="I176" s="109">
        <f ca="1">SUM(JEFF!AZ176)</f>
        <v>0</v>
      </c>
      <c r="J176" s="109"/>
      <c r="K176" s="71"/>
      <c r="L176" s="115">
        <f ca="1">SUM(CMO!T176)</f>
        <v>0</v>
      </c>
      <c r="M176" s="115"/>
      <c r="N176" s="71"/>
      <c r="O176" s="121">
        <f t="shared" si="20"/>
        <v>0</v>
      </c>
      <c r="P176" s="121">
        <f t="shared" si="21"/>
        <v>0</v>
      </c>
      <c r="Q176" s="71"/>
    </row>
    <row r="177" spans="1:17" outlineLevel="1">
      <c r="A177" s="33" t="s">
        <v>93</v>
      </c>
      <c r="B177" s="33" t="s">
        <v>94</v>
      </c>
      <c r="C177" s="103">
        <f ca="1">SUM(CAMP!BN177)</f>
        <v>0</v>
      </c>
      <c r="D177" s="103"/>
      <c r="E177" s="71"/>
      <c r="F177" s="129">
        <f ca="1">SUM(OLIVIER!AN177)</f>
        <v>0</v>
      </c>
      <c r="G177" s="129"/>
      <c r="H177" s="71"/>
      <c r="I177" s="109">
        <f ca="1">SUM(JEFF!AZ177)</f>
        <v>0</v>
      </c>
      <c r="J177" s="109"/>
      <c r="K177" s="71"/>
      <c r="L177" s="115">
        <f ca="1">SUM(CMO!T177)</f>
        <v>22000</v>
      </c>
      <c r="M177" s="115"/>
      <c r="N177" s="71"/>
      <c r="O177" s="121">
        <f t="shared" si="20"/>
        <v>22000</v>
      </c>
      <c r="P177" s="121">
        <f t="shared" si="21"/>
        <v>0</v>
      </c>
      <c r="Q177" s="71"/>
    </row>
    <row r="178" spans="1:17" outlineLevel="1">
      <c r="A178" s="33" t="s">
        <v>95</v>
      </c>
      <c r="B178" s="33" t="s">
        <v>432</v>
      </c>
      <c r="C178" s="103">
        <f ca="1">SUM(CAMP!BN178)</f>
        <v>0</v>
      </c>
      <c r="D178" s="103">
        <v>3133</v>
      </c>
      <c r="E178" s="71"/>
      <c r="F178" s="129">
        <f ca="1">SUM(OLIVIER!AN178)</f>
        <v>0</v>
      </c>
      <c r="G178" s="129">
        <v>11484</v>
      </c>
      <c r="H178" s="71"/>
      <c r="I178" s="109">
        <f ca="1">SUM(JEFF!AZ178)</f>
        <v>0</v>
      </c>
      <c r="J178" s="109"/>
      <c r="K178" s="71"/>
      <c r="L178" s="115">
        <f ca="1">SUM(CMO!T178)</f>
        <v>0</v>
      </c>
      <c r="M178" s="115">
        <v>33799</v>
      </c>
      <c r="N178" s="71"/>
      <c r="O178" s="121">
        <f t="shared" si="20"/>
        <v>0</v>
      </c>
      <c r="P178" s="121">
        <f t="shared" si="21"/>
        <v>48416</v>
      </c>
      <c r="Q178" s="71"/>
    </row>
    <row r="179" spans="1:17" outlineLevel="1">
      <c r="A179" s="33" t="s">
        <v>96</v>
      </c>
      <c r="B179" s="33" t="s">
        <v>431</v>
      </c>
      <c r="C179" s="103">
        <f ca="1">SUM(CAMP!BN179)</f>
        <v>20000</v>
      </c>
      <c r="D179" s="103"/>
      <c r="E179" s="71"/>
      <c r="F179" s="129">
        <f ca="1">SUM(OLIVIER!AN179)</f>
        <v>5810</v>
      </c>
      <c r="G179" s="129">
        <v>32745</v>
      </c>
      <c r="H179" s="71"/>
      <c r="I179" s="109">
        <f ca="1">SUM(JEFF!AZ179)</f>
        <v>0</v>
      </c>
      <c r="J179" s="109"/>
      <c r="K179" s="71"/>
      <c r="L179" s="115">
        <f ca="1">SUM(CMO!T179)</f>
        <v>10000</v>
      </c>
      <c r="M179" s="115">
        <v>375</v>
      </c>
      <c r="N179" s="71"/>
      <c r="O179" s="121">
        <f t="shared" si="20"/>
        <v>35810</v>
      </c>
      <c r="P179" s="121">
        <f t="shared" si="21"/>
        <v>33120</v>
      </c>
      <c r="Q179" s="71"/>
    </row>
    <row r="180" spans="1:17" outlineLevel="1">
      <c r="A180" s="33" t="s">
        <v>98</v>
      </c>
      <c r="B180" s="33" t="s">
        <v>99</v>
      </c>
      <c r="C180" s="103">
        <f ca="1">SUM(CAMP!BN180)</f>
        <v>0</v>
      </c>
      <c r="D180" s="103"/>
      <c r="E180" s="71"/>
      <c r="F180" s="129">
        <f ca="1">SUM(OLIVIER!AN180)</f>
        <v>0</v>
      </c>
      <c r="G180" s="129"/>
      <c r="H180" s="71"/>
      <c r="I180" s="109">
        <f ca="1">SUM(JEFF!AZ180)</f>
        <v>0</v>
      </c>
      <c r="J180" s="109"/>
      <c r="K180" s="71"/>
      <c r="L180" s="115">
        <f ca="1">SUM(CMO!T180)</f>
        <v>0</v>
      </c>
      <c r="M180" s="115"/>
      <c r="N180" s="71"/>
      <c r="O180" s="121">
        <f t="shared" si="20"/>
        <v>0</v>
      </c>
      <c r="P180" s="121">
        <f t="shared" si="21"/>
        <v>0</v>
      </c>
      <c r="Q180" s="71"/>
    </row>
    <row r="181" spans="1:17" outlineLevel="1">
      <c r="A181" s="33" t="s">
        <v>100</v>
      </c>
      <c r="B181" s="33" t="s">
        <v>287</v>
      </c>
      <c r="C181" s="103">
        <f ca="1">SUM(CAMP!BN181)</f>
        <v>1015</v>
      </c>
      <c r="D181" s="103">
        <v>9579</v>
      </c>
      <c r="E181" s="71"/>
      <c r="F181" s="129">
        <f ca="1">SUM(OLIVIER!AN181)</f>
        <v>362.5</v>
      </c>
      <c r="G181" s="129">
        <v>1853</v>
      </c>
      <c r="H181" s="71"/>
      <c r="I181" s="109">
        <f ca="1">SUM(JEFF!AZ181)</f>
        <v>0</v>
      </c>
      <c r="J181" s="109"/>
      <c r="K181" s="71"/>
      <c r="L181" s="115">
        <f ca="1">SUM(CMO!T181)</f>
        <v>0</v>
      </c>
      <c r="M181" s="115"/>
      <c r="N181" s="71"/>
      <c r="O181" s="121">
        <f t="shared" si="20"/>
        <v>1377.5</v>
      </c>
      <c r="P181" s="121">
        <f t="shared" si="21"/>
        <v>11432</v>
      </c>
      <c r="Q181" s="71"/>
    </row>
    <row r="182" spans="1:17" outlineLevel="1">
      <c r="A182" s="33" t="s">
        <v>101</v>
      </c>
      <c r="B182" s="33" t="s">
        <v>102</v>
      </c>
      <c r="C182" s="103">
        <f ca="1">SUM(CAMP!BN182)</f>
        <v>0</v>
      </c>
      <c r="D182" s="103"/>
      <c r="E182" s="71"/>
      <c r="F182" s="129">
        <f ca="1">SUM(OLIVIER!AN182)</f>
        <v>0</v>
      </c>
      <c r="G182" s="129"/>
      <c r="H182" s="71"/>
      <c r="I182" s="109">
        <f ca="1">SUM(JEFF!AZ182)</f>
        <v>0</v>
      </c>
      <c r="J182" s="109"/>
      <c r="K182" s="71"/>
      <c r="L182" s="115">
        <f ca="1">SUM(CMO!T182)</f>
        <v>2000</v>
      </c>
      <c r="M182" s="115"/>
      <c r="N182" s="71"/>
      <c r="O182" s="121">
        <f t="shared" si="20"/>
        <v>2000</v>
      </c>
      <c r="P182" s="121">
        <f t="shared" si="21"/>
        <v>0</v>
      </c>
      <c r="Q182" s="71"/>
    </row>
    <row r="183" spans="1:17" outlineLevel="1">
      <c r="A183" s="33" t="s">
        <v>105</v>
      </c>
      <c r="B183" s="33" t="s">
        <v>167</v>
      </c>
      <c r="C183" s="103">
        <f ca="1">SUM(CAMP!BN183)</f>
        <v>0</v>
      </c>
      <c r="D183" s="103"/>
      <c r="E183" s="71"/>
      <c r="F183" s="129">
        <f ca="1">SUM(OLIVIER!AN183)</f>
        <v>0</v>
      </c>
      <c r="G183" s="129"/>
      <c r="H183" s="71"/>
      <c r="I183" s="109">
        <f ca="1">SUM(JEFF!AZ183)</f>
        <v>0</v>
      </c>
      <c r="J183" s="109"/>
      <c r="K183" s="71"/>
      <c r="L183" s="115">
        <f ca="1">SUM(CMO!T183)</f>
        <v>0</v>
      </c>
      <c r="M183" s="115"/>
      <c r="N183" s="71"/>
      <c r="O183" s="121">
        <f t="shared" si="20"/>
        <v>0</v>
      </c>
      <c r="P183" s="121">
        <f t="shared" si="21"/>
        <v>0</v>
      </c>
      <c r="Q183" s="71"/>
    </row>
    <row r="184" spans="1:17" outlineLevel="1">
      <c r="A184" s="33" t="s">
        <v>106</v>
      </c>
      <c r="B184" s="33" t="s">
        <v>107</v>
      </c>
      <c r="C184" s="103">
        <f ca="1">SUM(CAMP!BN184)</f>
        <v>0</v>
      </c>
      <c r="D184" s="103">
        <v>5693</v>
      </c>
      <c r="E184" s="71"/>
      <c r="F184" s="129">
        <f ca="1">SUM(OLIVIER!AN184)</f>
        <v>0</v>
      </c>
      <c r="G184" s="129">
        <v>903</v>
      </c>
      <c r="H184" s="71"/>
      <c r="I184" s="109">
        <f ca="1">SUM(JEFF!AZ184)</f>
        <v>0</v>
      </c>
      <c r="J184" s="109"/>
      <c r="K184" s="71"/>
      <c r="L184" s="115">
        <f ca="1">SUM(CMO!T184)</f>
        <v>261179.18840909092</v>
      </c>
      <c r="M184" s="115">
        <v>53815</v>
      </c>
      <c r="N184" s="71"/>
      <c r="O184" s="121">
        <f t="shared" si="20"/>
        <v>261179.18840909092</v>
      </c>
      <c r="P184" s="121">
        <f t="shared" si="21"/>
        <v>60411</v>
      </c>
      <c r="Q184" s="71"/>
    </row>
    <row r="185" spans="1:17" outlineLevel="1">
      <c r="A185" s="33" t="s">
        <v>465</v>
      </c>
      <c r="B185" s="33" t="s">
        <v>466</v>
      </c>
      <c r="C185" s="104">
        <f ca="1">SUM(CAMP!BN185)</f>
        <v>0</v>
      </c>
      <c r="D185" s="104">
        <v>1617</v>
      </c>
      <c r="E185" s="71"/>
      <c r="F185" s="130">
        <f ca="1">SUM(OLIVIER!AN185)</f>
        <v>0</v>
      </c>
      <c r="G185" s="130">
        <v>140</v>
      </c>
      <c r="H185" s="71"/>
      <c r="I185" s="110">
        <f ca="1">SUM(JEFF!AZ185)</f>
        <v>0</v>
      </c>
      <c r="J185" s="110"/>
      <c r="K185" s="71"/>
      <c r="L185" s="116">
        <f ca="1">SUM(CMO!T185)</f>
        <v>2900</v>
      </c>
      <c r="M185" s="116">
        <v>2765</v>
      </c>
      <c r="N185" s="71"/>
      <c r="O185" s="122">
        <f t="shared" si="20"/>
        <v>2900</v>
      </c>
      <c r="P185" s="122">
        <f t="shared" si="21"/>
        <v>4522</v>
      </c>
      <c r="Q185" s="71"/>
    </row>
    <row r="186" spans="1:17">
      <c r="B186" s="33" t="s">
        <v>168</v>
      </c>
      <c r="C186" s="102">
        <f>SUM(C175:C185)</f>
        <v>945942.47727272729</v>
      </c>
      <c r="D186" s="102">
        <f>SUM(D175:D185)</f>
        <v>21212</v>
      </c>
      <c r="E186" s="67"/>
      <c r="F186" s="128">
        <f>SUM(F175:F185)</f>
        <v>271677.69545454544</v>
      </c>
      <c r="G186" s="128">
        <f>SUM(G175:G185)</f>
        <v>47253</v>
      </c>
      <c r="H186" s="67"/>
      <c r="I186" s="108">
        <f>SUM(I175:I185)</f>
        <v>484095.25</v>
      </c>
      <c r="J186" s="108">
        <f>SUM(J175:J185)</f>
        <v>0</v>
      </c>
      <c r="K186" s="67"/>
      <c r="L186" s="114">
        <f>SUM(L175:L185)</f>
        <v>353742.18840909092</v>
      </c>
      <c r="M186" s="114">
        <f>SUM(M175:M185)</f>
        <v>130313</v>
      </c>
      <c r="N186" s="67"/>
      <c r="O186" s="120">
        <f>SUM(O175:O185)</f>
        <v>2055457.6111363638</v>
      </c>
      <c r="P186" s="120">
        <f>SUM(P175:P185)</f>
        <v>198778</v>
      </c>
      <c r="Q186" s="67"/>
    </row>
    <row r="187" spans="1:17">
      <c r="C187" s="102"/>
      <c r="D187" s="102"/>
      <c r="E187" s="71"/>
      <c r="F187" s="128"/>
      <c r="G187" s="128"/>
      <c r="H187" s="71"/>
      <c r="I187" s="108"/>
      <c r="J187" s="108"/>
      <c r="K187" s="71"/>
      <c r="L187" s="114"/>
      <c r="M187" s="114"/>
      <c r="N187" s="71"/>
      <c r="O187" s="120"/>
      <c r="P187" s="120"/>
      <c r="Q187" s="71"/>
    </row>
    <row r="188" spans="1:17" s="32" customFormat="1" ht="10.5">
      <c r="A188" s="37"/>
      <c r="B188" s="37" t="s">
        <v>169</v>
      </c>
      <c r="C188" s="102">
        <f>SUM(C122+C133+C141+C150+C155+C171+C186)</f>
        <v>2526396.5501147844</v>
      </c>
      <c r="D188" s="102">
        <f>SUM(D122+D133+D141+D150+D155+D171+D186)</f>
        <v>849267</v>
      </c>
      <c r="E188" s="67"/>
      <c r="F188" s="128">
        <f>SUM(F122+F133+F141+F150+F155+F171+F186)</f>
        <v>1165508.6428833792</v>
      </c>
      <c r="G188" s="128">
        <f>SUM(G122+G133+G141+G150+G155+G171+G186)</f>
        <v>546022</v>
      </c>
      <c r="H188" s="67"/>
      <c r="I188" s="108">
        <f>SUM(I122+I133+I141+I150+I155+I171+I186)</f>
        <v>1861679.09</v>
      </c>
      <c r="J188" s="108">
        <f>SUM(J122+J133+J141+J150+J155+J171+J186)</f>
        <v>1076</v>
      </c>
      <c r="K188" s="67"/>
      <c r="L188" s="114">
        <f>SUM(L122+L133+L141+L150+L155+L171+L186)</f>
        <v>804111.08840909088</v>
      </c>
      <c r="M188" s="114">
        <f>SUM(M122+M133+M141+M150+M155+M171+M186)</f>
        <v>528160</v>
      </c>
      <c r="N188" s="67"/>
      <c r="O188" s="120">
        <f>SUM(O122+O133+O141+O150+O155+O171+O186)</f>
        <v>6357695.3714072546</v>
      </c>
      <c r="P188" s="120">
        <f>SUM(P122+P133+P141+P150+P155+P171+P186)</f>
        <v>1924525</v>
      </c>
      <c r="Q188" s="67"/>
    </row>
    <row r="189" spans="1:17">
      <c r="C189" s="102"/>
      <c r="D189" s="102"/>
      <c r="E189" s="71"/>
      <c r="F189" s="128"/>
      <c r="G189" s="128"/>
      <c r="H189" s="71"/>
      <c r="I189" s="108"/>
      <c r="J189" s="108"/>
      <c r="K189" s="71"/>
      <c r="L189" s="114"/>
      <c r="M189" s="114"/>
      <c r="N189" s="71"/>
      <c r="O189" s="120"/>
      <c r="P189" s="120"/>
      <c r="Q189" s="71"/>
    </row>
    <row r="190" spans="1:17">
      <c r="B190" s="37" t="s">
        <v>476</v>
      </c>
      <c r="C190" s="102">
        <f>SUM(C104+C188)</f>
        <v>6869268.6121505275</v>
      </c>
      <c r="D190" s="102">
        <f>SUM(D104+D188)</f>
        <v>4303189</v>
      </c>
      <c r="E190" s="71"/>
      <c r="F190" s="128">
        <f>SUM(F104+F188)</f>
        <v>2392407.5180538753</v>
      </c>
      <c r="G190" s="128">
        <f>SUM(G104+G188)</f>
        <v>1004897</v>
      </c>
      <c r="H190" s="71"/>
      <c r="I190" s="108">
        <f>SUM(I104+I188)</f>
        <v>3526623.3535246719</v>
      </c>
      <c r="J190" s="108">
        <f>SUM(J104+J188)</f>
        <v>9144</v>
      </c>
      <c r="K190" s="71"/>
      <c r="L190" s="114">
        <f>SUM(L104+L188)</f>
        <v>1879176.0462500476</v>
      </c>
      <c r="M190" s="114">
        <f>SUM(M104+M188)</f>
        <v>1584019</v>
      </c>
      <c r="N190" s="71"/>
      <c r="O190" s="120">
        <f>SUM(O104+O188)</f>
        <v>14667475.529979123</v>
      </c>
      <c r="P190" s="120">
        <f>SUM(P104+P188)</f>
        <v>6901249</v>
      </c>
      <c r="Q190" s="71"/>
    </row>
    <row r="191" spans="1:17">
      <c r="C191" s="102"/>
      <c r="D191" s="102"/>
      <c r="E191" s="71"/>
      <c r="F191" s="128"/>
      <c r="G191" s="128"/>
      <c r="H191" s="71"/>
      <c r="I191" s="108"/>
      <c r="J191" s="108"/>
      <c r="K191" s="71"/>
      <c r="L191" s="114"/>
      <c r="M191" s="114"/>
      <c r="N191" s="71"/>
      <c r="O191" s="120"/>
      <c r="P191" s="120"/>
      <c r="Q191" s="71"/>
    </row>
    <row r="192" spans="1:17" s="32" customFormat="1" ht="10.5">
      <c r="A192" s="37"/>
      <c r="B192" s="37" t="s">
        <v>170</v>
      </c>
      <c r="C192" s="102">
        <f>+C68-C104-C188</f>
        <v>112.96166765410453</v>
      </c>
      <c r="D192" s="102">
        <f>+D68-D104-D188</f>
        <v>1099359</v>
      </c>
      <c r="E192" s="67"/>
      <c r="F192" s="128">
        <f>+F68-F104-F188</f>
        <v>256.45530976145528</v>
      </c>
      <c r="G192" s="128">
        <f>+G68-G104-G188</f>
        <v>297789</v>
      </c>
      <c r="H192" s="67"/>
      <c r="I192" s="108">
        <f>+I68-I104-I188</f>
        <v>9.5404753279872239</v>
      </c>
      <c r="J192" s="108">
        <f>+J68-J104-J188</f>
        <v>-9144</v>
      </c>
      <c r="K192" s="67"/>
      <c r="L192" s="114">
        <f>+L68-L104-L188</f>
        <v>274.93047722522169</v>
      </c>
      <c r="M192" s="114">
        <f>+M68-M104-M188</f>
        <v>-1419474</v>
      </c>
      <c r="N192" s="67"/>
      <c r="O192" s="120">
        <f>+O68-O104-O188</f>
        <v>653.88792997039855</v>
      </c>
      <c r="P192" s="120">
        <f>+P68-P104-P188</f>
        <v>-31470</v>
      </c>
      <c r="Q192" s="67"/>
    </row>
    <row r="194" spans="1:17">
      <c r="A194" s="85"/>
      <c r="E194" s="38"/>
      <c r="H194" s="38"/>
      <c r="K194" s="38"/>
      <c r="N194" s="38"/>
      <c r="Q194" s="38"/>
    </row>
    <row r="195" spans="1:17">
      <c r="A195" s="85"/>
    </row>
    <row r="196" spans="1:17">
      <c r="B196" s="28"/>
    </row>
  </sheetData>
  <phoneticPr fontId="3" type="noConversion"/>
  <pageMargins left="0.2" right="0.21319444444444399" top="0.57999999999999996" bottom="0.42" header="0" footer="0"/>
  <pageSetup scale="60" fitToHeight="0" orientation="landscape" r:id="rId1"/>
  <headerFooter alignWithMargins="0">
    <oddHeader>&amp;C&amp;"MS Sans Serif,Bold"&amp;18INTERNATIONAL SCHOOL OF LOUISIANA&amp;"MS Sans Serif,Regular"&amp;10
&amp;"MS Sans Serif,Bold"&amp;13BUDGET SCHOOL YEAR '12-2013&amp;"MS Sans Serif,Regular"&amp;10
&amp;"MS Sans Serif,Italic"&amp;8version 5 As of 2012-0609</oddHeader>
    <oddFooter>&amp;L&amp;6&amp;Z&amp;F&amp;R&amp;P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6"/>
  <sheetViews>
    <sheetView workbookViewId="0">
      <pane xSplit="2" ySplit="10" topLeftCell="BD158" activePane="bottomRight" state="frozen"/>
      <selection activeCell="A116" sqref="A116:IV116"/>
      <selection pane="topRight" activeCell="A116" sqref="A116:IV116"/>
      <selection pane="bottomLeft" activeCell="A116" sqref="A116:IV116"/>
      <selection pane="bottomRight" activeCell="BL183" sqref="BL183:BL184"/>
    </sheetView>
  </sheetViews>
  <sheetFormatPr defaultColWidth="11.42578125" defaultRowHeight="11.25"/>
  <cols>
    <col min="1" max="1" width="18" style="33" customWidth="1"/>
    <col min="2" max="2" width="26.85546875" style="33" customWidth="1"/>
    <col min="3" max="3" width="9.85546875" style="28" customWidth="1"/>
    <col min="4" max="4" width="9.140625" style="28" bestFit="1" customWidth="1"/>
    <col min="5" max="5" width="10.42578125" style="28" bestFit="1" customWidth="1"/>
    <col min="6" max="8" width="9.140625" style="28" bestFit="1" customWidth="1"/>
    <col min="9" max="9" width="3.28515625" style="26" customWidth="1"/>
    <col min="10" max="51" width="11.42578125" style="28" customWidth="1"/>
    <col min="52" max="52" width="3.140625" style="28" customWidth="1"/>
    <col min="53" max="53" width="8.28515625" style="1" bestFit="1" customWidth="1"/>
    <col min="54" max="54" width="8.5703125" style="28" bestFit="1" customWidth="1"/>
    <col min="55" max="57" width="9.140625" style="1" bestFit="1" customWidth="1"/>
    <col min="58" max="58" width="9.28515625" style="1" customWidth="1"/>
    <col min="59" max="59" width="9" style="1" bestFit="1" customWidth="1"/>
    <col min="60" max="60" width="9.5703125" style="1" bestFit="1" customWidth="1"/>
    <col min="61" max="61" width="9.28515625" style="1" bestFit="1" customWidth="1"/>
    <col min="62" max="62" width="9.85546875" style="1" bestFit="1" customWidth="1"/>
    <col min="63" max="63" width="11.85546875" style="1" bestFit="1" customWidth="1"/>
    <col min="64" max="64" width="10.140625" style="1" bestFit="1" customWidth="1"/>
    <col min="65" max="65" width="3.28515625" style="28" customWidth="1"/>
    <col min="66" max="66" width="11.42578125" style="56"/>
    <col min="67" max="16384" width="11.42578125" style="28"/>
  </cols>
  <sheetData>
    <row r="1" spans="1:66">
      <c r="C1" s="28" t="s">
        <v>268</v>
      </c>
    </row>
    <row r="2" spans="1:66">
      <c r="BB2" s="28" t="s">
        <v>269</v>
      </c>
    </row>
    <row r="3" spans="1:66">
      <c r="C3" s="28" t="s">
        <v>270</v>
      </c>
    </row>
    <row r="5" spans="1:66">
      <c r="B5" s="34"/>
    </row>
    <row r="6" spans="1:66">
      <c r="BI6" s="1" t="s">
        <v>438</v>
      </c>
      <c r="BJ6" s="63" t="s">
        <v>467</v>
      </c>
      <c r="BK6" s="1" t="s">
        <v>434</v>
      </c>
      <c r="BL6" s="63" t="s">
        <v>468</v>
      </c>
    </row>
    <row r="7" spans="1:66" s="29" customFormat="1">
      <c r="A7" s="30"/>
      <c r="B7" s="30" t="s">
        <v>329</v>
      </c>
      <c r="C7" s="29">
        <v>0</v>
      </c>
      <c r="D7" s="51">
        <f>SUM(J7:M7)</f>
        <v>8</v>
      </c>
      <c r="E7" s="51">
        <f>SUM(N7:AK7)+SUM(AL7:AQ7)</f>
        <v>50</v>
      </c>
      <c r="F7" s="51">
        <f>SUM(AR7:AY7)</f>
        <v>9.5</v>
      </c>
      <c r="G7" s="51">
        <v>3.5</v>
      </c>
      <c r="H7" s="51">
        <v>2</v>
      </c>
      <c r="I7" s="88"/>
      <c r="J7" s="51">
        <v>2</v>
      </c>
      <c r="K7" s="51">
        <v>2</v>
      </c>
      <c r="L7" s="51">
        <v>2</v>
      </c>
      <c r="M7" s="51">
        <v>2</v>
      </c>
      <c r="N7" s="51">
        <v>2</v>
      </c>
      <c r="O7" s="51">
        <v>2</v>
      </c>
      <c r="P7" s="51">
        <v>2</v>
      </c>
      <c r="Q7" s="51">
        <v>2</v>
      </c>
      <c r="R7" s="51">
        <v>2</v>
      </c>
      <c r="S7" s="51">
        <v>2</v>
      </c>
      <c r="T7" s="51">
        <v>2</v>
      </c>
      <c r="U7" s="51">
        <v>2</v>
      </c>
      <c r="V7" s="51">
        <v>1</v>
      </c>
      <c r="W7" s="51">
        <v>2</v>
      </c>
      <c r="X7" s="51">
        <v>2</v>
      </c>
      <c r="Y7" s="51">
        <v>2</v>
      </c>
      <c r="Z7" s="51">
        <v>2</v>
      </c>
      <c r="AA7" s="51">
        <v>1</v>
      </c>
      <c r="AB7" s="51">
        <v>1.5</v>
      </c>
      <c r="AC7" s="51">
        <v>1.5</v>
      </c>
      <c r="AD7" s="51">
        <v>1.5</v>
      </c>
      <c r="AE7" s="51">
        <v>1.5</v>
      </c>
      <c r="AF7" s="51">
        <v>1</v>
      </c>
      <c r="AG7" s="51">
        <v>1</v>
      </c>
      <c r="AH7" s="51">
        <v>1</v>
      </c>
      <c r="AI7" s="51">
        <v>1</v>
      </c>
      <c r="AJ7" s="51">
        <v>1</v>
      </c>
      <c r="AK7" s="51">
        <v>1</v>
      </c>
      <c r="AL7" s="51">
        <v>2.5</v>
      </c>
      <c r="AM7" s="51">
        <v>3</v>
      </c>
      <c r="AN7" s="51">
        <v>2</v>
      </c>
      <c r="AO7" s="51">
        <v>1</v>
      </c>
      <c r="AP7" s="51">
        <v>3</v>
      </c>
      <c r="AQ7" s="51">
        <v>0.5</v>
      </c>
      <c r="AR7" s="51">
        <v>1.5</v>
      </c>
      <c r="AS7" s="51">
        <v>1</v>
      </c>
      <c r="AT7" s="51">
        <v>1</v>
      </c>
      <c r="AU7" s="51">
        <v>1</v>
      </c>
      <c r="AV7" s="51">
        <v>1</v>
      </c>
      <c r="AW7" s="51">
        <v>1.5</v>
      </c>
      <c r="AX7" s="51">
        <v>1</v>
      </c>
      <c r="AY7" s="51">
        <v>1.5</v>
      </c>
      <c r="AZ7" s="75"/>
      <c r="BA7" s="164">
        <v>0.4</v>
      </c>
      <c r="BB7" s="98">
        <v>1</v>
      </c>
      <c r="BC7" s="165">
        <v>1</v>
      </c>
      <c r="BD7" s="165">
        <v>1</v>
      </c>
      <c r="BE7" s="165">
        <v>1.4</v>
      </c>
      <c r="BF7" s="165">
        <v>0.4</v>
      </c>
      <c r="BG7" s="164">
        <v>3</v>
      </c>
      <c r="BH7" s="164">
        <v>4</v>
      </c>
      <c r="BI7" s="164">
        <f ca="1">SUM(FC!D7)</f>
        <v>5</v>
      </c>
      <c r="BJ7" s="98">
        <v>0</v>
      </c>
      <c r="BK7" s="164">
        <f ca="1">SUM(FS!D7)</f>
        <v>4</v>
      </c>
      <c r="BL7" s="164">
        <f ca="1">SUM(IT!D7)</f>
        <v>0.4</v>
      </c>
      <c r="BM7" s="75"/>
      <c r="BN7" s="64">
        <f>SUM(C7:H7)+SUM(BA7:BL7)</f>
        <v>94.6</v>
      </c>
    </row>
    <row r="8" spans="1:66">
      <c r="I8" s="89"/>
      <c r="J8" s="28" t="s">
        <v>382</v>
      </c>
      <c r="K8" s="28" t="s">
        <v>383</v>
      </c>
      <c r="L8" s="28" t="s">
        <v>806</v>
      </c>
      <c r="M8" s="28" t="s">
        <v>384</v>
      </c>
      <c r="N8" s="28" t="s">
        <v>387</v>
      </c>
      <c r="O8" s="28" t="s">
        <v>386</v>
      </c>
      <c r="P8" s="28" t="s">
        <v>817</v>
      </c>
      <c r="Q8" s="28" t="s">
        <v>818</v>
      </c>
      <c r="R8" s="28" t="s">
        <v>824</v>
      </c>
      <c r="S8" s="28" t="s">
        <v>388</v>
      </c>
      <c r="T8" s="28" t="s">
        <v>385</v>
      </c>
      <c r="U8" s="28" t="s">
        <v>819</v>
      </c>
      <c r="V8" s="28" t="s">
        <v>390</v>
      </c>
      <c r="W8" s="28" t="s">
        <v>391</v>
      </c>
      <c r="X8" s="28" t="s">
        <v>392</v>
      </c>
      <c r="Y8" s="28" t="s">
        <v>820</v>
      </c>
      <c r="Z8" s="28" t="s">
        <v>393</v>
      </c>
      <c r="AA8" s="28" t="s">
        <v>394</v>
      </c>
      <c r="AB8" s="28" t="s">
        <v>396</v>
      </c>
      <c r="AC8" s="28" t="s">
        <v>397</v>
      </c>
      <c r="AD8" s="28" t="s">
        <v>821</v>
      </c>
      <c r="AE8" s="28" t="s">
        <v>823</v>
      </c>
      <c r="AF8" s="28" t="s">
        <v>398</v>
      </c>
      <c r="AG8" s="28" t="s">
        <v>825</v>
      </c>
      <c r="AH8" s="28" t="s">
        <v>399</v>
      </c>
      <c r="AI8" s="28" t="s">
        <v>822</v>
      </c>
      <c r="AK8" s="28" t="s">
        <v>389</v>
      </c>
      <c r="AR8" s="28" t="s">
        <v>401</v>
      </c>
      <c r="AT8" s="28" t="s">
        <v>403</v>
      </c>
      <c r="AU8" s="28" t="s">
        <v>404</v>
      </c>
      <c r="AV8" s="28" t="s">
        <v>384</v>
      </c>
      <c r="AX8" s="28" t="s">
        <v>405</v>
      </c>
      <c r="AZ8" s="74"/>
      <c r="BM8" s="74"/>
    </row>
    <row r="9" spans="1:66">
      <c r="C9" s="28" t="s">
        <v>175</v>
      </c>
      <c r="D9" s="28" t="s">
        <v>176</v>
      </c>
      <c r="E9" s="28" t="s">
        <v>177</v>
      </c>
      <c r="F9" s="28" t="s">
        <v>178</v>
      </c>
      <c r="G9" s="28" t="s">
        <v>419</v>
      </c>
      <c r="H9" s="28" t="s">
        <v>179</v>
      </c>
      <c r="I9" s="89"/>
      <c r="J9" s="28" t="s">
        <v>330</v>
      </c>
      <c r="K9" s="28" t="s">
        <v>805</v>
      </c>
      <c r="M9" s="28" t="s">
        <v>775</v>
      </c>
      <c r="N9" s="28" t="s">
        <v>811</v>
      </c>
      <c r="O9" s="28" t="s">
        <v>810</v>
      </c>
      <c r="P9" s="28" t="s">
        <v>807</v>
      </c>
      <c r="Q9" s="28" t="s">
        <v>809</v>
      </c>
      <c r="R9" s="28" t="s">
        <v>813</v>
      </c>
      <c r="S9" s="28" t="s">
        <v>812</v>
      </c>
      <c r="X9" s="28" t="s">
        <v>814</v>
      </c>
      <c r="Y9" s="28" t="s">
        <v>808</v>
      </c>
      <c r="AB9" s="28" t="s">
        <v>815</v>
      </c>
      <c r="AC9" s="28" t="s">
        <v>815</v>
      </c>
      <c r="AG9" s="28" t="s">
        <v>816</v>
      </c>
      <c r="AH9" s="28" t="s">
        <v>816</v>
      </c>
      <c r="AL9" s="28" t="s">
        <v>364</v>
      </c>
      <c r="AR9" s="28" t="s">
        <v>178</v>
      </c>
      <c r="AZ9" s="74"/>
      <c r="BA9" s="63" t="s">
        <v>180</v>
      </c>
      <c r="BB9" s="31" t="s">
        <v>443</v>
      </c>
      <c r="BC9" s="63" t="s">
        <v>181</v>
      </c>
      <c r="BD9" s="63" t="s">
        <v>182</v>
      </c>
      <c r="BE9" s="63" t="s">
        <v>183</v>
      </c>
      <c r="BF9" s="1" t="s">
        <v>494</v>
      </c>
      <c r="BG9" s="63" t="s">
        <v>192</v>
      </c>
      <c r="BH9" s="63" t="s">
        <v>193</v>
      </c>
      <c r="BI9" s="63" t="s">
        <v>189</v>
      </c>
      <c r="BJ9" s="1" t="s">
        <v>185</v>
      </c>
      <c r="BK9" s="63" t="s">
        <v>191</v>
      </c>
      <c r="BL9" s="63" t="s">
        <v>477</v>
      </c>
      <c r="BM9" s="74"/>
    </row>
    <row r="10" spans="1:66" s="45" customFormat="1">
      <c r="A10" s="44"/>
      <c r="B10" s="44" t="s">
        <v>174</v>
      </c>
      <c r="C10" s="45">
        <v>1000</v>
      </c>
      <c r="D10" s="45">
        <v>1105</v>
      </c>
      <c r="E10" s="45">
        <v>1110</v>
      </c>
      <c r="F10" s="45">
        <v>1111</v>
      </c>
      <c r="G10" s="45">
        <v>2410</v>
      </c>
      <c r="H10" s="45">
        <v>2420</v>
      </c>
      <c r="I10" s="90"/>
      <c r="J10" s="45" t="s">
        <v>331</v>
      </c>
      <c r="K10" s="45" t="s">
        <v>332</v>
      </c>
      <c r="L10" s="45" t="s">
        <v>333</v>
      </c>
      <c r="M10" s="45" t="s">
        <v>334</v>
      </c>
      <c r="N10" s="45" t="s">
        <v>336</v>
      </c>
      <c r="O10" s="45" t="s">
        <v>337</v>
      </c>
      <c r="P10" s="45" t="s">
        <v>338</v>
      </c>
      <c r="Q10" s="45" t="s">
        <v>339</v>
      </c>
      <c r="R10" s="45" t="s">
        <v>340</v>
      </c>
      <c r="S10" s="45" t="s">
        <v>341</v>
      </c>
      <c r="T10" s="45" t="s">
        <v>342</v>
      </c>
      <c r="U10" s="45" t="s">
        <v>343</v>
      </c>
      <c r="V10" s="45" t="s">
        <v>345</v>
      </c>
      <c r="W10" s="45" t="s">
        <v>344</v>
      </c>
      <c r="X10" s="45" t="s">
        <v>346</v>
      </c>
      <c r="Y10" s="45" t="s">
        <v>347</v>
      </c>
      <c r="Z10" s="45" t="s">
        <v>348</v>
      </c>
      <c r="AA10" s="45" t="s">
        <v>349</v>
      </c>
      <c r="AB10" s="45" t="s">
        <v>350</v>
      </c>
      <c r="AC10" s="45" t="s">
        <v>351</v>
      </c>
      <c r="AD10" s="45" t="s">
        <v>353</v>
      </c>
      <c r="AE10" s="45" t="s">
        <v>352</v>
      </c>
      <c r="AF10" s="45" t="s">
        <v>354</v>
      </c>
      <c r="AG10" s="45" t="s">
        <v>355</v>
      </c>
      <c r="AH10" s="45" t="s">
        <v>356</v>
      </c>
      <c r="AI10" s="45" t="s">
        <v>357</v>
      </c>
      <c r="AJ10" s="45" t="s">
        <v>426</v>
      </c>
      <c r="AK10" s="45" t="s">
        <v>358</v>
      </c>
      <c r="AL10" s="45" t="s">
        <v>365</v>
      </c>
      <c r="AM10" s="45" t="s">
        <v>366</v>
      </c>
      <c r="AN10" s="45" t="s">
        <v>367</v>
      </c>
      <c r="AO10" s="45" t="s">
        <v>413</v>
      </c>
      <c r="AP10" s="45" t="s">
        <v>417</v>
      </c>
      <c r="AQ10" s="46" t="s">
        <v>372</v>
      </c>
      <c r="AR10" s="45" t="s">
        <v>359</v>
      </c>
      <c r="AS10" s="45" t="s">
        <v>400</v>
      </c>
      <c r="AT10" s="45" t="s">
        <v>402</v>
      </c>
      <c r="AU10" s="45" t="s">
        <v>362</v>
      </c>
      <c r="AV10" s="45" t="s">
        <v>361</v>
      </c>
      <c r="AW10" s="45" t="s">
        <v>360</v>
      </c>
      <c r="AX10" s="45" t="s">
        <v>826</v>
      </c>
      <c r="AY10" s="45" t="s">
        <v>363</v>
      </c>
      <c r="AZ10" s="76"/>
      <c r="BA10" s="7" t="s">
        <v>412</v>
      </c>
      <c r="BB10" s="45" t="s">
        <v>444</v>
      </c>
      <c r="BC10" s="7">
        <v>2122</v>
      </c>
      <c r="BD10" s="7">
        <v>2134</v>
      </c>
      <c r="BE10" s="7">
        <v>2252</v>
      </c>
      <c r="BF10" s="7"/>
      <c r="BG10" s="7">
        <v>3200</v>
      </c>
      <c r="BH10" s="7">
        <v>3210</v>
      </c>
      <c r="BI10" s="7">
        <v>2620</v>
      </c>
      <c r="BJ10" s="7">
        <v>2500</v>
      </c>
      <c r="BK10" s="7">
        <v>3100</v>
      </c>
      <c r="BL10" s="7">
        <v>2840</v>
      </c>
      <c r="BM10" s="76"/>
      <c r="BN10" s="58"/>
    </row>
    <row r="11" spans="1:66">
      <c r="A11" s="33" t="s">
        <v>271</v>
      </c>
      <c r="I11" s="89"/>
      <c r="AZ11" s="74"/>
      <c r="BA11" s="39"/>
      <c r="BB11" s="54"/>
      <c r="BC11" s="39"/>
      <c r="BD11" s="39"/>
      <c r="BE11" s="39"/>
      <c r="BG11" s="39"/>
      <c r="BH11" s="39"/>
      <c r="BI11" s="39"/>
      <c r="BK11" s="39"/>
      <c r="BL11" s="39"/>
      <c r="BM11" s="74"/>
    </row>
    <row r="12" spans="1:66">
      <c r="A12" s="33" t="s">
        <v>272</v>
      </c>
      <c r="C12" s="43"/>
      <c r="I12" s="89"/>
      <c r="AZ12" s="74"/>
      <c r="BA12" s="39"/>
      <c r="BB12" s="54"/>
      <c r="BC12" s="39"/>
      <c r="BD12" s="39"/>
      <c r="BE12" s="39"/>
      <c r="BG12" s="39"/>
      <c r="BH12" s="39"/>
      <c r="BI12" s="39"/>
      <c r="BK12" s="39"/>
      <c r="BL12" s="39"/>
      <c r="BM12" s="74"/>
    </row>
    <row r="13" spans="1:66">
      <c r="A13" s="33" t="s">
        <v>171</v>
      </c>
      <c r="B13" s="33" t="s">
        <v>273</v>
      </c>
      <c r="C13" s="25">
        <v>50000</v>
      </c>
      <c r="D13" s="25">
        <f>SUM(J13:M13)</f>
        <v>0</v>
      </c>
      <c r="E13" s="25">
        <f t="shared" ref="E13:E37" si="0">SUM(N13:AQ13)</f>
        <v>0</v>
      </c>
      <c r="F13" s="25">
        <f>SUM(AR13:AY13)</f>
        <v>0</v>
      </c>
      <c r="G13" s="25"/>
      <c r="H13" s="25"/>
      <c r="I13" s="178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92"/>
      <c r="BA13" s="68">
        <f ca="1">SUM('AC-SVC'!C13)</f>
        <v>0</v>
      </c>
      <c r="BB13" s="68">
        <f ca="1">SUM('AC-SVC'!D13)</f>
        <v>0</v>
      </c>
      <c r="BC13" s="68">
        <f ca="1">SUM('AC-SVC'!E13)</f>
        <v>0</v>
      </c>
      <c r="BD13" s="68">
        <f ca="1">SUM('AC-SVC'!F13)</f>
        <v>0</v>
      </c>
      <c r="BE13" s="68">
        <f ca="1">SUM('AC-SVC'!G13)</f>
        <v>0</v>
      </c>
      <c r="BF13" s="68">
        <f ca="1">SUM('AC-SVC'!H13)</f>
        <v>0</v>
      </c>
      <c r="BG13" s="23">
        <f ca="1">SUM(PT!C13)</f>
        <v>0</v>
      </c>
      <c r="BH13" s="68">
        <f ca="1">SUM(CCLC!C13)</f>
        <v>0</v>
      </c>
      <c r="BI13" s="23">
        <f ca="1">SUM(FC!D13)</f>
        <v>0</v>
      </c>
      <c r="BJ13" s="68">
        <f ca="1">SUM(FN!G13)</f>
        <v>0</v>
      </c>
      <c r="BK13" s="23">
        <f ca="1">SUM(FS!D13)</f>
        <v>0</v>
      </c>
      <c r="BL13" s="68">
        <f ca="1">SUM(IT!D13)</f>
        <v>0</v>
      </c>
      <c r="BM13" s="92"/>
      <c r="BN13" s="56">
        <f t="shared" ref="BN13:BN37" si="1">SUM(C13:H13)+SUM(BA13:BL13)</f>
        <v>50000</v>
      </c>
    </row>
    <row r="14" spans="1:66">
      <c r="A14" s="33" t="s">
        <v>172</v>
      </c>
      <c r="B14" s="33" t="s">
        <v>274</v>
      </c>
      <c r="C14" s="25">
        <v>50000</v>
      </c>
      <c r="D14" s="25">
        <f t="shared" ref="D14:D37" si="2">SUM(J14:M14)</f>
        <v>0</v>
      </c>
      <c r="E14" s="25">
        <f t="shared" si="0"/>
        <v>0</v>
      </c>
      <c r="F14" s="25">
        <f t="shared" ref="F14:F37" si="3">SUM(AR14:AY14)</f>
        <v>0</v>
      </c>
      <c r="G14" s="25"/>
      <c r="H14" s="25"/>
      <c r="I14" s="17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92"/>
      <c r="BA14" s="68">
        <f ca="1">SUM('AC-SVC'!C14)</f>
        <v>0</v>
      </c>
      <c r="BB14" s="68">
        <f ca="1">SUM('AC-SVC'!D14)</f>
        <v>0</v>
      </c>
      <c r="BC14" s="68">
        <f ca="1">SUM('AC-SVC'!E14)</f>
        <v>0</v>
      </c>
      <c r="BD14" s="68">
        <f ca="1">SUM('AC-SVC'!F14)</f>
        <v>0</v>
      </c>
      <c r="BE14" s="68">
        <f ca="1">SUM('AC-SVC'!G14)</f>
        <v>0</v>
      </c>
      <c r="BF14" s="68">
        <f ca="1">SUM('AC-SVC'!H14)</f>
        <v>0</v>
      </c>
      <c r="BG14" s="68">
        <f ca="1">SUM(PT!C14)</f>
        <v>0</v>
      </c>
      <c r="BH14" s="68">
        <f ca="1">SUM(CCLC!C14)</f>
        <v>0</v>
      </c>
      <c r="BI14" s="23">
        <f ca="1">SUM(FC!D14)</f>
        <v>0</v>
      </c>
      <c r="BJ14" s="68">
        <f ca="1">SUM(FN!G14)</f>
        <v>0</v>
      </c>
      <c r="BK14" s="23">
        <f ca="1">SUM(FS!D14)</f>
        <v>0</v>
      </c>
      <c r="BL14" s="68">
        <f ca="1">SUM(IT!D14)</f>
        <v>0</v>
      </c>
      <c r="BM14" s="92"/>
      <c r="BN14" s="56">
        <f t="shared" si="1"/>
        <v>50000</v>
      </c>
    </row>
    <row r="15" spans="1:66">
      <c r="A15" s="33" t="s">
        <v>173</v>
      </c>
      <c r="B15" s="33" t="s">
        <v>275</v>
      </c>
      <c r="C15" s="25"/>
      <c r="D15" s="25">
        <f t="shared" si="2"/>
        <v>0</v>
      </c>
      <c r="E15" s="25">
        <f t="shared" si="0"/>
        <v>0</v>
      </c>
      <c r="F15" s="25">
        <f t="shared" si="3"/>
        <v>0</v>
      </c>
      <c r="G15" s="25"/>
      <c r="H15" s="25"/>
      <c r="I15" s="178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92"/>
      <c r="BA15" s="68">
        <f ca="1">SUM('AC-SVC'!C15)</f>
        <v>0</v>
      </c>
      <c r="BB15" s="68">
        <f ca="1">SUM('AC-SVC'!D15)</f>
        <v>0</v>
      </c>
      <c r="BC15" s="68">
        <f ca="1">SUM('AC-SVC'!E15)</f>
        <v>0</v>
      </c>
      <c r="BD15" s="68">
        <f ca="1">SUM('AC-SVC'!F15)</f>
        <v>0</v>
      </c>
      <c r="BE15" s="68">
        <f ca="1">SUM('AC-SVC'!G15)</f>
        <v>0</v>
      </c>
      <c r="BF15" s="68">
        <f ca="1">SUM('AC-SVC'!H15)</f>
        <v>0</v>
      </c>
      <c r="BG15" s="68">
        <f ca="1">SUM(PT!C15)</f>
        <v>0</v>
      </c>
      <c r="BH15" s="68">
        <f ca="1">SUM(CCLC!C15)</f>
        <v>0</v>
      </c>
      <c r="BI15" s="23">
        <f ca="1">SUM(FC!D15)</f>
        <v>0</v>
      </c>
      <c r="BJ15" s="68">
        <f ca="1">SUM(FN!G15)</f>
        <v>0</v>
      </c>
      <c r="BK15" s="23">
        <f ca="1">SUM(FS!D15)</f>
        <v>0</v>
      </c>
      <c r="BL15" s="68">
        <f ca="1">SUM(IT!D15)</f>
        <v>0</v>
      </c>
      <c r="BM15" s="92"/>
      <c r="BN15" s="56">
        <f t="shared" si="1"/>
        <v>0</v>
      </c>
    </row>
    <row r="16" spans="1:66">
      <c r="A16" s="33" t="s">
        <v>194</v>
      </c>
      <c r="B16" s="33" t="s">
        <v>276</v>
      </c>
      <c r="C16" s="25"/>
      <c r="D16" s="25">
        <f t="shared" si="2"/>
        <v>0</v>
      </c>
      <c r="E16" s="25">
        <f t="shared" si="0"/>
        <v>0</v>
      </c>
      <c r="F16" s="25">
        <f t="shared" si="3"/>
        <v>0</v>
      </c>
      <c r="G16" s="25"/>
      <c r="H16" s="25"/>
      <c r="I16" s="178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92"/>
      <c r="BA16" s="68">
        <f ca="1">SUM('AC-SVC'!C16)</f>
        <v>0</v>
      </c>
      <c r="BB16" s="68">
        <f ca="1">SUM('AC-SVC'!D16)</f>
        <v>0</v>
      </c>
      <c r="BC16" s="68">
        <f ca="1">SUM('AC-SVC'!E16)</f>
        <v>0</v>
      </c>
      <c r="BD16" s="68">
        <f ca="1">SUM('AC-SVC'!F16)</f>
        <v>0</v>
      </c>
      <c r="BE16" s="68">
        <f ca="1">SUM('AC-SVC'!G16)</f>
        <v>0</v>
      </c>
      <c r="BF16" s="68">
        <f ca="1">SUM('AC-SVC'!H16)</f>
        <v>0</v>
      </c>
      <c r="BG16" s="68">
        <f ca="1">SUM(PT!C16)</f>
        <v>0</v>
      </c>
      <c r="BH16" s="68">
        <f ca="1">SUM(CCLC!C16)</f>
        <v>0</v>
      </c>
      <c r="BI16" s="23">
        <f ca="1">SUM(FC!D16)</f>
        <v>0</v>
      </c>
      <c r="BJ16" s="68">
        <f ca="1">SUM(FN!G16)</f>
        <v>0</v>
      </c>
      <c r="BK16" s="23">
        <f ca="1">SUM(FS!D16)</f>
        <v>101600</v>
      </c>
      <c r="BL16" s="68">
        <f ca="1">SUM(IT!D16)</f>
        <v>0</v>
      </c>
      <c r="BM16" s="92"/>
      <c r="BN16" s="56">
        <f t="shared" si="1"/>
        <v>101600</v>
      </c>
    </row>
    <row r="17" spans="1:66">
      <c r="A17" s="33" t="s">
        <v>195</v>
      </c>
      <c r="B17" s="33" t="s">
        <v>277</v>
      </c>
      <c r="C17" s="25"/>
      <c r="D17" s="25">
        <f t="shared" si="2"/>
        <v>0</v>
      </c>
      <c r="E17" s="25">
        <f t="shared" si="0"/>
        <v>0</v>
      </c>
      <c r="F17" s="25">
        <f t="shared" si="3"/>
        <v>0</v>
      </c>
      <c r="G17" s="25"/>
      <c r="H17" s="25"/>
      <c r="I17" s="17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92"/>
      <c r="BA17" s="68">
        <f ca="1">SUM('AC-SVC'!C17)</f>
        <v>0</v>
      </c>
      <c r="BB17" s="68">
        <f ca="1">SUM('AC-SVC'!D17)</f>
        <v>0</v>
      </c>
      <c r="BC17" s="68">
        <f ca="1">SUM('AC-SVC'!E17)</f>
        <v>0</v>
      </c>
      <c r="BD17" s="68">
        <f ca="1">SUM('AC-SVC'!F17)</f>
        <v>0</v>
      </c>
      <c r="BE17" s="68">
        <f ca="1">SUM('AC-SVC'!G17)</f>
        <v>0</v>
      </c>
      <c r="BF17" s="68">
        <f ca="1">SUM('AC-SVC'!H17)</f>
        <v>0</v>
      </c>
      <c r="BG17" s="68">
        <f ca="1">SUM(PT!C17)</f>
        <v>67500</v>
      </c>
      <c r="BH17" s="68">
        <f ca="1">SUM(CCLC!C17)</f>
        <v>0</v>
      </c>
      <c r="BI17" s="23">
        <f ca="1">SUM(FC!D17)</f>
        <v>0</v>
      </c>
      <c r="BJ17" s="68">
        <f ca="1">SUM(FN!G17)</f>
        <v>0</v>
      </c>
      <c r="BK17" s="23">
        <f ca="1">SUM(FS!D17)</f>
        <v>0</v>
      </c>
      <c r="BL17" s="68">
        <f ca="1">SUM(IT!D17)</f>
        <v>0</v>
      </c>
      <c r="BM17" s="92"/>
      <c r="BN17" s="56">
        <f t="shared" si="1"/>
        <v>67500</v>
      </c>
    </row>
    <row r="18" spans="1:66">
      <c r="A18" s="33" t="s">
        <v>196</v>
      </c>
      <c r="B18" s="33" t="s">
        <v>278</v>
      </c>
      <c r="C18" s="25"/>
      <c r="D18" s="25">
        <f t="shared" si="2"/>
        <v>0</v>
      </c>
      <c r="E18" s="25">
        <f t="shared" si="0"/>
        <v>0</v>
      </c>
      <c r="F18" s="25">
        <f t="shared" si="3"/>
        <v>0</v>
      </c>
      <c r="G18" s="25"/>
      <c r="H18" s="25"/>
      <c r="I18" s="17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92"/>
      <c r="BA18" s="68">
        <f ca="1">SUM('AC-SVC'!C18)</f>
        <v>0</v>
      </c>
      <c r="BB18" s="68">
        <f ca="1">SUM('AC-SVC'!D18)</f>
        <v>0</v>
      </c>
      <c r="BC18" s="68">
        <f ca="1">SUM('AC-SVC'!E18)</f>
        <v>0</v>
      </c>
      <c r="BD18" s="68">
        <f ca="1">SUM('AC-SVC'!F18)</f>
        <v>0</v>
      </c>
      <c r="BE18" s="68">
        <f ca="1">SUM('AC-SVC'!G18)</f>
        <v>0</v>
      </c>
      <c r="BF18" s="68">
        <f ca="1">SUM('AC-SVC'!H18)</f>
        <v>0</v>
      </c>
      <c r="BG18" s="68">
        <f ca="1">SUM(PT!C18)</f>
        <v>0</v>
      </c>
      <c r="BH18" s="68">
        <f ca="1">SUM(CCLC!C18)</f>
        <v>73818.181818181809</v>
      </c>
      <c r="BI18" s="23">
        <f ca="1">SUM(FC!D18)</f>
        <v>0</v>
      </c>
      <c r="BJ18" s="68">
        <f ca="1">SUM(FN!G18)</f>
        <v>0</v>
      </c>
      <c r="BK18" s="23">
        <f ca="1">SUM(FS!D18)</f>
        <v>0</v>
      </c>
      <c r="BL18" s="68">
        <f ca="1">SUM(IT!D18)</f>
        <v>0</v>
      </c>
      <c r="BM18" s="92"/>
      <c r="BN18" s="56">
        <f t="shared" si="1"/>
        <v>73818.181818181809</v>
      </c>
    </row>
    <row r="19" spans="1:66">
      <c r="A19" s="33" t="s">
        <v>197</v>
      </c>
      <c r="B19" s="33" t="s">
        <v>279</v>
      </c>
      <c r="C19" s="25"/>
      <c r="D19" s="25">
        <f t="shared" si="2"/>
        <v>0</v>
      </c>
      <c r="E19" s="25">
        <f t="shared" si="0"/>
        <v>0</v>
      </c>
      <c r="F19" s="25">
        <f t="shared" si="3"/>
        <v>0</v>
      </c>
      <c r="G19" s="25"/>
      <c r="H19" s="25"/>
      <c r="I19" s="17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92"/>
      <c r="BA19" s="68">
        <f ca="1">SUM('AC-SVC'!C19)</f>
        <v>0</v>
      </c>
      <c r="BB19" s="68">
        <f ca="1">SUM('AC-SVC'!D19)</f>
        <v>0</v>
      </c>
      <c r="BC19" s="68">
        <f ca="1">SUM('AC-SVC'!E19)</f>
        <v>0</v>
      </c>
      <c r="BD19" s="68">
        <f ca="1">SUM('AC-SVC'!F19)</f>
        <v>0</v>
      </c>
      <c r="BE19" s="68">
        <f ca="1">SUM('AC-SVC'!G19)</f>
        <v>0</v>
      </c>
      <c r="BF19" s="68">
        <f ca="1">SUM('AC-SVC'!H19)</f>
        <v>0</v>
      </c>
      <c r="BG19" s="68">
        <f ca="1">SUM(PT!C19)</f>
        <v>0</v>
      </c>
      <c r="BH19" s="68">
        <f ca="1">SUM(CCLC!C19)</f>
        <v>0</v>
      </c>
      <c r="BI19" s="23">
        <f ca="1">SUM(FC!D19)</f>
        <v>0</v>
      </c>
      <c r="BJ19" s="68">
        <f ca="1">SUM(FN!G19)</f>
        <v>0</v>
      </c>
      <c r="BK19" s="23">
        <f ca="1">SUM(FS!D19)</f>
        <v>0</v>
      </c>
      <c r="BL19" s="68">
        <f ca="1">SUM(IT!D19)</f>
        <v>0</v>
      </c>
      <c r="BM19" s="92"/>
      <c r="BN19" s="56">
        <f t="shared" si="1"/>
        <v>0</v>
      </c>
    </row>
    <row r="20" spans="1:66">
      <c r="A20" s="33" t="s">
        <v>198</v>
      </c>
      <c r="B20" s="33" t="s">
        <v>280</v>
      </c>
      <c r="C20" s="25">
        <f ca="1">190*(SUM!B5-280)</f>
        <v>67450</v>
      </c>
      <c r="D20" s="25">
        <f t="shared" si="2"/>
        <v>0</v>
      </c>
      <c r="E20" s="25">
        <f t="shared" si="0"/>
        <v>0</v>
      </c>
      <c r="F20" s="25">
        <f t="shared" si="3"/>
        <v>0</v>
      </c>
      <c r="G20" s="25"/>
      <c r="H20" s="25"/>
      <c r="I20" s="17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92"/>
      <c r="BA20" s="68">
        <f ca="1">SUM('AC-SVC'!C20)</f>
        <v>0</v>
      </c>
      <c r="BB20" s="68">
        <f ca="1">SUM('AC-SVC'!D20)</f>
        <v>0</v>
      </c>
      <c r="BC20" s="68">
        <f ca="1">SUM('AC-SVC'!E20)</f>
        <v>0</v>
      </c>
      <c r="BD20" s="68">
        <f ca="1">SUM('AC-SVC'!F20)</f>
        <v>0</v>
      </c>
      <c r="BE20" s="68">
        <f ca="1">SUM('AC-SVC'!G20)</f>
        <v>0</v>
      </c>
      <c r="BF20" s="68">
        <f ca="1">SUM('AC-SVC'!H20)</f>
        <v>0</v>
      </c>
      <c r="BG20" s="68">
        <f ca="1">SUM(PT!C20)</f>
        <v>0</v>
      </c>
      <c r="BH20" s="68">
        <f ca="1">SUM(CCLC!C20)</f>
        <v>0</v>
      </c>
      <c r="BI20" s="23">
        <f ca="1">SUM(FC!D20)</f>
        <v>0</v>
      </c>
      <c r="BJ20" s="68">
        <f ca="1">SUM(FN!G20)</f>
        <v>0</v>
      </c>
      <c r="BK20" s="23">
        <f ca="1">SUM(FS!D20)</f>
        <v>0</v>
      </c>
      <c r="BL20" s="68">
        <f ca="1">SUM(IT!D20)</f>
        <v>0</v>
      </c>
      <c r="BM20" s="92"/>
      <c r="BN20" s="56">
        <f t="shared" si="1"/>
        <v>67450</v>
      </c>
    </row>
    <row r="21" spans="1:66">
      <c r="A21" s="33" t="s">
        <v>199</v>
      </c>
      <c r="B21" s="33" t="s">
        <v>281</v>
      </c>
      <c r="C21" s="179">
        <f>+(96+96+88)*190</f>
        <v>53200</v>
      </c>
      <c r="D21" s="25">
        <f t="shared" si="2"/>
        <v>0</v>
      </c>
      <c r="E21" s="25">
        <f t="shared" si="0"/>
        <v>0</v>
      </c>
      <c r="F21" s="25">
        <f t="shared" si="3"/>
        <v>0</v>
      </c>
      <c r="G21" s="25"/>
      <c r="H21" s="25"/>
      <c r="I21" s="17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92"/>
      <c r="BA21" s="68">
        <f ca="1">SUM('AC-SVC'!C21)</f>
        <v>0</v>
      </c>
      <c r="BB21" s="68">
        <f ca="1">SUM('AC-SVC'!D21)</f>
        <v>0</v>
      </c>
      <c r="BC21" s="68">
        <f ca="1">SUM('AC-SVC'!E21)</f>
        <v>0</v>
      </c>
      <c r="BD21" s="68">
        <f ca="1">SUM('AC-SVC'!F21)</f>
        <v>0</v>
      </c>
      <c r="BE21" s="68">
        <f ca="1">SUM('AC-SVC'!G21)</f>
        <v>0</v>
      </c>
      <c r="BF21" s="68">
        <f ca="1">SUM('AC-SVC'!H21)</f>
        <v>0</v>
      </c>
      <c r="BG21" s="68">
        <f ca="1">SUM(PT!C21)</f>
        <v>0</v>
      </c>
      <c r="BH21" s="68">
        <f ca="1">SUM(CCLC!C21)</f>
        <v>0</v>
      </c>
      <c r="BI21" s="23">
        <f ca="1">SUM(FC!D21)</f>
        <v>0</v>
      </c>
      <c r="BJ21" s="68">
        <f ca="1">SUM(FN!G21)</f>
        <v>0</v>
      </c>
      <c r="BK21" s="23">
        <f ca="1">SUM(FS!D21)</f>
        <v>0</v>
      </c>
      <c r="BL21" s="68">
        <f ca="1">SUM(IT!D21)</f>
        <v>0</v>
      </c>
      <c r="BM21" s="92"/>
      <c r="BN21" s="56">
        <f t="shared" si="1"/>
        <v>53200</v>
      </c>
    </row>
    <row r="22" spans="1:66">
      <c r="A22" s="33" t="s">
        <v>200</v>
      </c>
      <c r="B22" s="33" t="s">
        <v>282</v>
      </c>
      <c r="C22" s="25"/>
      <c r="D22" s="25">
        <f t="shared" si="2"/>
        <v>0</v>
      </c>
      <c r="E22" s="25">
        <f t="shared" si="0"/>
        <v>0</v>
      </c>
      <c r="F22" s="25">
        <f t="shared" si="3"/>
        <v>0</v>
      </c>
      <c r="G22" s="25"/>
      <c r="H22" s="25"/>
      <c r="I22" s="17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92"/>
      <c r="BA22" s="68">
        <f ca="1">SUM('AC-SVC'!C22)</f>
        <v>0</v>
      </c>
      <c r="BB22" s="68">
        <f ca="1">SUM('AC-SVC'!D22)</f>
        <v>0</v>
      </c>
      <c r="BC22" s="68">
        <f ca="1">SUM('AC-SVC'!E22)</f>
        <v>0</v>
      </c>
      <c r="BD22" s="68">
        <f ca="1">SUM('AC-SVC'!F22)</f>
        <v>0</v>
      </c>
      <c r="BE22" s="68">
        <f ca="1">SUM('AC-SVC'!G22)</f>
        <v>0</v>
      </c>
      <c r="BF22" s="68">
        <f ca="1">SUM('AC-SVC'!H22)</f>
        <v>0</v>
      </c>
      <c r="BG22" s="68">
        <f ca="1">SUM(PT!C22)</f>
        <v>0</v>
      </c>
      <c r="BH22" s="68">
        <f ca="1">SUM(CCLC!C22)</f>
        <v>0</v>
      </c>
      <c r="BI22" s="23">
        <f ca="1">SUM(FC!D22)</f>
        <v>0</v>
      </c>
      <c r="BJ22" s="68">
        <f ca="1">SUM(FN!G22)</f>
        <v>0</v>
      </c>
      <c r="BK22" s="23">
        <f ca="1">SUM(FS!D22)</f>
        <v>0</v>
      </c>
      <c r="BL22" s="68">
        <f ca="1">SUM(IT!D22)</f>
        <v>0</v>
      </c>
      <c r="BM22" s="92"/>
      <c r="BN22" s="56">
        <f t="shared" si="1"/>
        <v>0</v>
      </c>
    </row>
    <row r="23" spans="1:66">
      <c r="A23" s="33" t="s">
        <v>201</v>
      </c>
      <c r="B23" s="33" t="s">
        <v>283</v>
      </c>
      <c r="C23" s="25"/>
      <c r="D23" s="25">
        <f t="shared" si="2"/>
        <v>0</v>
      </c>
      <c r="E23" s="25">
        <f t="shared" si="0"/>
        <v>0</v>
      </c>
      <c r="F23" s="25">
        <f t="shared" si="3"/>
        <v>0</v>
      </c>
      <c r="G23" s="25"/>
      <c r="H23" s="25"/>
      <c r="I23" s="17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92"/>
      <c r="BA23" s="68">
        <f ca="1">SUM('AC-SVC'!C23)</f>
        <v>0</v>
      </c>
      <c r="BB23" s="68">
        <f ca="1">SUM('AC-SVC'!D23)</f>
        <v>0</v>
      </c>
      <c r="BC23" s="68">
        <f ca="1">SUM('AC-SVC'!E23)</f>
        <v>0</v>
      </c>
      <c r="BD23" s="68">
        <f ca="1">SUM('AC-SVC'!F23)</f>
        <v>0</v>
      </c>
      <c r="BE23" s="68">
        <f ca="1">SUM('AC-SVC'!G23)</f>
        <v>500</v>
      </c>
      <c r="BF23" s="68">
        <f ca="1">SUM('AC-SVC'!H23)</f>
        <v>0</v>
      </c>
      <c r="BG23" s="68">
        <f ca="1">SUM(PT!C23)</f>
        <v>0</v>
      </c>
      <c r="BH23" s="68">
        <f ca="1">SUM(CCLC!C23)</f>
        <v>0</v>
      </c>
      <c r="BI23" s="23">
        <f ca="1">SUM(FC!D23)</f>
        <v>0</v>
      </c>
      <c r="BJ23" s="68">
        <f ca="1">SUM(FN!G23)</f>
        <v>0</v>
      </c>
      <c r="BK23" s="23">
        <f ca="1">SUM(FS!D23)</f>
        <v>0</v>
      </c>
      <c r="BL23" s="68">
        <f ca="1">SUM(IT!D23)</f>
        <v>0</v>
      </c>
      <c r="BM23" s="92"/>
      <c r="BN23" s="56">
        <f t="shared" si="1"/>
        <v>500</v>
      </c>
    </row>
    <row r="24" spans="1:66">
      <c r="A24" s="33" t="s">
        <v>202</v>
      </c>
      <c r="B24" s="33" t="s">
        <v>284</v>
      </c>
      <c r="C24" s="25"/>
      <c r="D24" s="25">
        <f t="shared" si="2"/>
        <v>0</v>
      </c>
      <c r="E24" s="25">
        <f t="shared" si="0"/>
        <v>0</v>
      </c>
      <c r="F24" s="25">
        <f t="shared" si="3"/>
        <v>0</v>
      </c>
      <c r="G24" s="25"/>
      <c r="H24" s="25"/>
      <c r="I24" s="178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92"/>
      <c r="BA24" s="68">
        <f ca="1">SUM('AC-SVC'!C24)</f>
        <v>0</v>
      </c>
      <c r="BB24" s="68">
        <f ca="1">SUM('AC-SVC'!D24)</f>
        <v>0</v>
      </c>
      <c r="BC24" s="68">
        <f ca="1">SUM('AC-SVC'!E24)</f>
        <v>0</v>
      </c>
      <c r="BD24" s="68">
        <f ca="1">SUM('AC-SVC'!F24)</f>
        <v>0</v>
      </c>
      <c r="BE24" s="68">
        <f ca="1">SUM('AC-SVC'!G24)</f>
        <v>0</v>
      </c>
      <c r="BF24" s="68">
        <f ca="1">SUM('AC-SVC'!H24)</f>
        <v>0</v>
      </c>
      <c r="BG24" s="68">
        <f ca="1">SUM(PT!C24)</f>
        <v>0</v>
      </c>
      <c r="BH24" s="68">
        <f ca="1">SUM(CCLC!C24)</f>
        <v>0</v>
      </c>
      <c r="BI24" s="23">
        <f ca="1">SUM(FC!D24)</f>
        <v>0</v>
      </c>
      <c r="BJ24" s="68">
        <f ca="1">SUM(FN!G24)</f>
        <v>0</v>
      </c>
      <c r="BK24" s="23">
        <f ca="1">SUM(FS!D24)</f>
        <v>0</v>
      </c>
      <c r="BL24" s="68">
        <f ca="1">SUM(IT!D24)</f>
        <v>0</v>
      </c>
      <c r="BM24" s="92"/>
      <c r="BN24" s="56">
        <f t="shared" si="1"/>
        <v>0</v>
      </c>
    </row>
    <row r="25" spans="1:66">
      <c r="A25" s="33" t="s">
        <v>203</v>
      </c>
      <c r="B25" s="33" t="s">
        <v>285</v>
      </c>
      <c r="C25" s="25"/>
      <c r="D25" s="25">
        <f t="shared" si="2"/>
        <v>0</v>
      </c>
      <c r="E25" s="25">
        <f t="shared" si="0"/>
        <v>0</v>
      </c>
      <c r="F25" s="25">
        <f t="shared" si="3"/>
        <v>0</v>
      </c>
      <c r="G25" s="25"/>
      <c r="H25" s="25"/>
      <c r="I25" s="17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92"/>
      <c r="BA25" s="68">
        <f ca="1">SUM('AC-SVC'!C25)</f>
        <v>0</v>
      </c>
      <c r="BB25" s="68">
        <f ca="1">SUM('AC-SVC'!D25)</f>
        <v>0</v>
      </c>
      <c r="BC25" s="68">
        <f ca="1">SUM('AC-SVC'!E25)</f>
        <v>0</v>
      </c>
      <c r="BD25" s="68">
        <f ca="1">SUM('AC-SVC'!F25)</f>
        <v>0</v>
      </c>
      <c r="BE25" s="68">
        <f ca="1">SUM('AC-SVC'!G25)</f>
        <v>0</v>
      </c>
      <c r="BF25" s="68">
        <f ca="1">SUM('AC-SVC'!H25)</f>
        <v>0</v>
      </c>
      <c r="BG25" s="68">
        <f ca="1">SUM(PT!C25)</f>
        <v>0</v>
      </c>
      <c r="BH25" s="68">
        <f ca="1">SUM(CCLC!C25)</f>
        <v>0</v>
      </c>
      <c r="BI25" s="23">
        <f ca="1">SUM(FC!D25)</f>
        <v>0</v>
      </c>
      <c r="BJ25" s="68">
        <f ca="1">SUM(FN!G25)</f>
        <v>0</v>
      </c>
      <c r="BK25" s="23">
        <f ca="1">SUM(FS!D25)</f>
        <v>0</v>
      </c>
      <c r="BL25" s="68">
        <f ca="1">SUM(IT!D25)</f>
        <v>0</v>
      </c>
      <c r="BM25" s="92"/>
      <c r="BN25" s="56">
        <f t="shared" si="1"/>
        <v>0</v>
      </c>
    </row>
    <row r="26" spans="1:66">
      <c r="A26" s="33" t="s">
        <v>204</v>
      </c>
      <c r="B26" s="33" t="s">
        <v>286</v>
      </c>
      <c r="C26" s="25"/>
      <c r="D26" s="25">
        <f t="shared" si="2"/>
        <v>0</v>
      </c>
      <c r="E26" s="25">
        <f t="shared" si="0"/>
        <v>0</v>
      </c>
      <c r="F26" s="25">
        <f t="shared" si="3"/>
        <v>0</v>
      </c>
      <c r="G26" s="25"/>
      <c r="H26" s="25"/>
      <c r="I26" s="178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92"/>
      <c r="BA26" s="68">
        <f ca="1">SUM('AC-SVC'!C26)</f>
        <v>0</v>
      </c>
      <c r="BB26" s="68">
        <f ca="1">SUM('AC-SVC'!D26)</f>
        <v>0</v>
      </c>
      <c r="BC26" s="68">
        <f ca="1">SUM('AC-SVC'!E26)</f>
        <v>0</v>
      </c>
      <c r="BD26" s="68">
        <f ca="1">SUM('AC-SVC'!F26)</f>
        <v>0</v>
      </c>
      <c r="BE26" s="68">
        <f ca="1">SUM('AC-SVC'!G26)</f>
        <v>0</v>
      </c>
      <c r="BF26" s="68">
        <f ca="1">SUM('AC-SVC'!H26)</f>
        <v>0</v>
      </c>
      <c r="BG26" s="68">
        <f ca="1">SUM(PT!C26)</f>
        <v>0</v>
      </c>
      <c r="BH26" s="68">
        <f ca="1">SUM(CCLC!C26)</f>
        <v>0</v>
      </c>
      <c r="BI26" s="23">
        <f ca="1">SUM(FC!D26)</f>
        <v>0</v>
      </c>
      <c r="BJ26" s="68">
        <f ca="1">SUM(FN!G26)</f>
        <v>0</v>
      </c>
      <c r="BK26" s="23">
        <f ca="1">SUM(FS!D26)</f>
        <v>0</v>
      </c>
      <c r="BL26" s="68">
        <f ca="1">SUM(IT!D26)</f>
        <v>0</v>
      </c>
      <c r="BM26" s="92"/>
      <c r="BN26" s="56">
        <f t="shared" si="1"/>
        <v>0</v>
      </c>
    </row>
    <row r="27" spans="1:66">
      <c r="A27" s="33" t="s">
        <v>205</v>
      </c>
      <c r="B27" s="33" t="s">
        <v>287</v>
      </c>
      <c r="C27" s="25"/>
      <c r="D27" s="25">
        <f t="shared" si="2"/>
        <v>0</v>
      </c>
      <c r="E27" s="25">
        <f t="shared" si="0"/>
        <v>0</v>
      </c>
      <c r="F27" s="25">
        <f t="shared" si="3"/>
        <v>0</v>
      </c>
      <c r="G27" s="25"/>
      <c r="H27" s="25"/>
      <c r="I27" s="17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92"/>
      <c r="BA27" s="68">
        <f ca="1">SUM('AC-SVC'!C27)</f>
        <v>0</v>
      </c>
      <c r="BB27" s="68">
        <f ca="1">SUM('AC-SVC'!D27)</f>
        <v>0</v>
      </c>
      <c r="BC27" s="68">
        <f ca="1">SUM('AC-SVC'!E27)</f>
        <v>0</v>
      </c>
      <c r="BD27" s="68">
        <f ca="1">SUM('AC-SVC'!F27)</f>
        <v>0</v>
      </c>
      <c r="BE27" s="68">
        <f ca="1">SUM('AC-SVC'!G27)</f>
        <v>0</v>
      </c>
      <c r="BF27" s="68">
        <f ca="1">SUM('AC-SVC'!H27)</f>
        <v>0</v>
      </c>
      <c r="BG27" s="68">
        <f ca="1">SUM(PT!C27)</f>
        <v>0</v>
      </c>
      <c r="BH27" s="68">
        <f ca="1">SUM(CCLC!C27)</f>
        <v>0</v>
      </c>
      <c r="BI27" s="23">
        <f ca="1">SUM(FC!D27)</f>
        <v>0</v>
      </c>
      <c r="BJ27" s="68">
        <f ca="1">SUM(FN!G27)</f>
        <v>0</v>
      </c>
      <c r="BK27" s="23">
        <f ca="1">SUM(FS!D27)</f>
        <v>0</v>
      </c>
      <c r="BL27" s="68">
        <f ca="1">SUM(IT!D27)</f>
        <v>0</v>
      </c>
      <c r="BM27" s="92"/>
      <c r="BN27" s="56">
        <f t="shared" si="1"/>
        <v>0</v>
      </c>
    </row>
    <row r="28" spans="1:66">
      <c r="A28" s="33" t="s">
        <v>206</v>
      </c>
      <c r="B28" s="33" t="s">
        <v>288</v>
      </c>
      <c r="C28" s="25"/>
      <c r="D28" s="25">
        <f t="shared" si="2"/>
        <v>0</v>
      </c>
      <c r="E28" s="25">
        <f t="shared" si="0"/>
        <v>0</v>
      </c>
      <c r="F28" s="25">
        <f t="shared" si="3"/>
        <v>0</v>
      </c>
      <c r="G28" s="25"/>
      <c r="H28" s="25"/>
      <c r="I28" s="17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92"/>
      <c r="BA28" s="68">
        <f ca="1">SUM('AC-SVC'!C28)</f>
        <v>0</v>
      </c>
      <c r="BB28" s="68">
        <f ca="1">SUM('AC-SVC'!D28)</f>
        <v>0</v>
      </c>
      <c r="BC28" s="68">
        <f ca="1">SUM('AC-SVC'!E28)</f>
        <v>0</v>
      </c>
      <c r="BD28" s="68">
        <f ca="1">SUM('AC-SVC'!F28)</f>
        <v>0</v>
      </c>
      <c r="BE28" s="68">
        <f ca="1">SUM('AC-SVC'!G28)</f>
        <v>0</v>
      </c>
      <c r="BF28" s="68">
        <f ca="1">SUM('AC-SVC'!H28)</f>
        <v>0</v>
      </c>
      <c r="BG28" s="68">
        <f ca="1">SUM(PT!C28)</f>
        <v>0</v>
      </c>
      <c r="BH28" s="68">
        <f ca="1">SUM(CCLC!C28)</f>
        <v>0</v>
      </c>
      <c r="BI28" s="23">
        <f ca="1">SUM(FC!D28)</f>
        <v>0</v>
      </c>
      <c r="BJ28" s="68">
        <f ca="1">SUM(FN!G28)</f>
        <v>0</v>
      </c>
      <c r="BK28" s="23">
        <f ca="1">SUM(FS!D28)</f>
        <v>0</v>
      </c>
      <c r="BL28" s="68">
        <f ca="1">SUM(IT!D28)</f>
        <v>0</v>
      </c>
      <c r="BM28" s="92"/>
      <c r="BN28" s="56">
        <f t="shared" si="1"/>
        <v>0</v>
      </c>
    </row>
    <row r="29" spans="1:66">
      <c r="A29" s="33" t="s">
        <v>207</v>
      </c>
      <c r="B29" s="33" t="s">
        <v>289</v>
      </c>
      <c r="C29" s="25"/>
      <c r="D29" s="25">
        <f t="shared" si="2"/>
        <v>0</v>
      </c>
      <c r="E29" s="25">
        <f t="shared" si="0"/>
        <v>0</v>
      </c>
      <c r="F29" s="25">
        <f t="shared" si="3"/>
        <v>0</v>
      </c>
      <c r="G29" s="25"/>
      <c r="H29" s="25"/>
      <c r="I29" s="17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92"/>
      <c r="BA29" s="68">
        <f ca="1">SUM('AC-SVC'!C29)</f>
        <v>0</v>
      </c>
      <c r="BB29" s="68">
        <f ca="1">SUM('AC-SVC'!D29)</f>
        <v>0</v>
      </c>
      <c r="BC29" s="68">
        <f ca="1">SUM('AC-SVC'!E29)</f>
        <v>0</v>
      </c>
      <c r="BD29" s="68">
        <f ca="1">SUM('AC-SVC'!F29)</f>
        <v>0</v>
      </c>
      <c r="BE29" s="68">
        <f ca="1">SUM('AC-SVC'!G29)</f>
        <v>300</v>
      </c>
      <c r="BF29" s="68">
        <f ca="1">SUM('AC-SVC'!H29)</f>
        <v>0</v>
      </c>
      <c r="BG29" s="68">
        <f ca="1">SUM(PT!C29)</f>
        <v>0</v>
      </c>
      <c r="BH29" s="68">
        <f ca="1">SUM(CCLC!C29)</f>
        <v>0</v>
      </c>
      <c r="BI29" s="23">
        <f ca="1">SUM(FC!D29)</f>
        <v>0</v>
      </c>
      <c r="BJ29" s="68">
        <f ca="1">SUM(FN!G29)</f>
        <v>0</v>
      </c>
      <c r="BK29" s="23">
        <f ca="1">SUM(FS!D29)</f>
        <v>0</v>
      </c>
      <c r="BL29" s="68">
        <f ca="1">SUM(IT!D29)</f>
        <v>0</v>
      </c>
      <c r="BM29" s="92"/>
      <c r="BN29" s="56">
        <f t="shared" si="1"/>
        <v>300</v>
      </c>
    </row>
    <row r="30" spans="1:66">
      <c r="A30" s="33" t="s">
        <v>209</v>
      </c>
      <c r="B30" s="33" t="s">
        <v>290</v>
      </c>
      <c r="C30" s="25"/>
      <c r="D30" s="25">
        <f t="shared" si="2"/>
        <v>0</v>
      </c>
      <c r="E30" s="25">
        <f t="shared" si="0"/>
        <v>0</v>
      </c>
      <c r="F30" s="25">
        <f t="shared" si="3"/>
        <v>0</v>
      </c>
      <c r="G30" s="25"/>
      <c r="H30" s="25"/>
      <c r="I30" s="178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92"/>
      <c r="BA30" s="68">
        <f ca="1">SUM('AC-SVC'!C30)</f>
        <v>0</v>
      </c>
      <c r="BB30" s="68">
        <f ca="1">SUM('AC-SVC'!D30)</f>
        <v>0</v>
      </c>
      <c r="BC30" s="68">
        <f ca="1">SUM('AC-SVC'!E30)</f>
        <v>0</v>
      </c>
      <c r="BD30" s="68">
        <f ca="1">SUM('AC-SVC'!F30)</f>
        <v>0</v>
      </c>
      <c r="BE30" s="68">
        <f ca="1">SUM('AC-SVC'!G30)</f>
        <v>0</v>
      </c>
      <c r="BF30" s="68">
        <f ca="1">SUM('AC-SVC'!H30)</f>
        <v>0</v>
      </c>
      <c r="BG30" s="68">
        <f ca="1">SUM(PT!C30)</f>
        <v>0</v>
      </c>
      <c r="BH30" s="68">
        <f ca="1">SUM(CCLC!C30)</f>
        <v>0</v>
      </c>
      <c r="BI30" s="23">
        <f ca="1">SUM(FC!D30)</f>
        <v>0</v>
      </c>
      <c r="BJ30" s="68">
        <f ca="1">SUM(FN!G30)</f>
        <v>0</v>
      </c>
      <c r="BK30" s="23">
        <f ca="1">SUM(FS!D30)</f>
        <v>0</v>
      </c>
      <c r="BL30" s="68">
        <f ca="1">SUM(IT!D30)</f>
        <v>0</v>
      </c>
      <c r="BM30" s="92"/>
      <c r="BN30" s="56">
        <f t="shared" si="1"/>
        <v>0</v>
      </c>
    </row>
    <row r="31" spans="1:66">
      <c r="A31" s="33" t="s">
        <v>208</v>
      </c>
      <c r="B31" s="33" t="s">
        <v>291</v>
      </c>
      <c r="C31" s="25"/>
      <c r="D31" s="25">
        <f t="shared" si="2"/>
        <v>0</v>
      </c>
      <c r="E31" s="25">
        <f t="shared" si="0"/>
        <v>0</v>
      </c>
      <c r="F31" s="25">
        <f t="shared" si="3"/>
        <v>0</v>
      </c>
      <c r="G31" s="25"/>
      <c r="H31" s="25"/>
      <c r="I31" s="17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92"/>
      <c r="BA31" s="68">
        <f ca="1">SUM('AC-SVC'!C31)</f>
        <v>0</v>
      </c>
      <c r="BB31" s="68">
        <f ca="1">SUM('AC-SVC'!D31)</f>
        <v>0</v>
      </c>
      <c r="BC31" s="68">
        <f ca="1">SUM('AC-SVC'!E31)</f>
        <v>0</v>
      </c>
      <c r="BD31" s="68">
        <f ca="1">SUM('AC-SVC'!F31)</f>
        <v>0</v>
      </c>
      <c r="BE31" s="68">
        <f ca="1">SUM('AC-SVC'!G31)</f>
        <v>0</v>
      </c>
      <c r="BF31" s="68">
        <f ca="1">SUM('AC-SVC'!H31)</f>
        <v>0</v>
      </c>
      <c r="BG31" s="68">
        <f ca="1">SUM(PT!C31)</f>
        <v>0</v>
      </c>
      <c r="BH31" s="68">
        <f ca="1">SUM(CCLC!C31)</f>
        <v>0</v>
      </c>
      <c r="BI31" s="23">
        <f ca="1">SUM(FC!D31)</f>
        <v>0</v>
      </c>
      <c r="BJ31" s="68">
        <f ca="1">SUM(FN!G31)</f>
        <v>0</v>
      </c>
      <c r="BK31" s="23">
        <f ca="1">SUM(FS!D31)</f>
        <v>0</v>
      </c>
      <c r="BL31" s="68">
        <f ca="1">SUM(IT!D31)</f>
        <v>0</v>
      </c>
      <c r="BM31" s="92"/>
      <c r="BN31" s="56">
        <f t="shared" si="1"/>
        <v>0</v>
      </c>
    </row>
    <row r="32" spans="1:66">
      <c r="A32" s="33" t="s">
        <v>210</v>
      </c>
      <c r="B32" s="33" t="s">
        <v>211</v>
      </c>
      <c r="C32" s="25"/>
      <c r="D32" s="25">
        <f t="shared" si="2"/>
        <v>0</v>
      </c>
      <c r="E32" s="25">
        <f t="shared" si="0"/>
        <v>0</v>
      </c>
      <c r="F32" s="25">
        <f t="shared" si="3"/>
        <v>0</v>
      </c>
      <c r="G32" s="25"/>
      <c r="H32" s="25"/>
      <c r="I32" s="178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92"/>
      <c r="BA32" s="68">
        <f ca="1">SUM('AC-SVC'!C32)</f>
        <v>0</v>
      </c>
      <c r="BB32" s="68">
        <f ca="1">SUM('AC-SVC'!D32)</f>
        <v>0</v>
      </c>
      <c r="BC32" s="68">
        <f ca="1">SUM('AC-SVC'!E32)</f>
        <v>0</v>
      </c>
      <c r="BD32" s="68">
        <f ca="1">SUM('AC-SVC'!F32)</f>
        <v>0</v>
      </c>
      <c r="BE32" s="68">
        <f ca="1">SUM('AC-SVC'!G32)</f>
        <v>0</v>
      </c>
      <c r="BF32" s="68">
        <f ca="1">SUM('AC-SVC'!H32)</f>
        <v>0</v>
      </c>
      <c r="BG32" s="68">
        <f ca="1">SUM(PT!C32)</f>
        <v>0</v>
      </c>
      <c r="BH32" s="68">
        <f ca="1">SUM(CCLC!C32)</f>
        <v>0</v>
      </c>
      <c r="BI32" s="23">
        <f ca="1">SUM(FC!D32)</f>
        <v>0</v>
      </c>
      <c r="BJ32" s="68">
        <f ca="1">SUM(FN!G32)</f>
        <v>0</v>
      </c>
      <c r="BK32" s="23">
        <f ca="1">SUM(FS!D32)</f>
        <v>0</v>
      </c>
      <c r="BL32" s="68">
        <f ca="1">SUM(IT!D32)</f>
        <v>0</v>
      </c>
      <c r="BM32" s="92"/>
      <c r="BN32" s="56">
        <f t="shared" si="1"/>
        <v>0</v>
      </c>
    </row>
    <row r="33" spans="1:66">
      <c r="A33" s="33" t="s">
        <v>214</v>
      </c>
      <c r="B33" s="33" t="s">
        <v>215</v>
      </c>
      <c r="C33" s="25">
        <v>15500</v>
      </c>
      <c r="D33" s="25">
        <f t="shared" si="2"/>
        <v>0</v>
      </c>
      <c r="E33" s="25">
        <f t="shared" si="0"/>
        <v>0</v>
      </c>
      <c r="F33" s="25">
        <f t="shared" si="3"/>
        <v>0</v>
      </c>
      <c r="G33" s="25"/>
      <c r="H33" s="25"/>
      <c r="I33" s="178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92"/>
      <c r="BA33" s="68">
        <f ca="1">SUM('AC-SVC'!C33)</f>
        <v>0</v>
      </c>
      <c r="BB33" s="68">
        <f ca="1">SUM('AC-SVC'!D33)</f>
        <v>0</v>
      </c>
      <c r="BC33" s="68">
        <f ca="1">SUM('AC-SVC'!E33)</f>
        <v>0</v>
      </c>
      <c r="BD33" s="68">
        <f ca="1">SUM('AC-SVC'!F33)</f>
        <v>0</v>
      </c>
      <c r="BE33" s="68">
        <f ca="1">SUM('AC-SVC'!G33)</f>
        <v>0</v>
      </c>
      <c r="BF33" s="68">
        <f ca="1">SUM('AC-SVC'!H33)</f>
        <v>0</v>
      </c>
      <c r="BG33" s="68">
        <f ca="1">SUM(PT!C33)</f>
        <v>0</v>
      </c>
      <c r="BH33" s="68">
        <f ca="1">SUM(CCLC!C33)</f>
        <v>0</v>
      </c>
      <c r="BI33" s="23">
        <f ca="1">SUM(FC!D33)</f>
        <v>0</v>
      </c>
      <c r="BJ33" s="68">
        <f ca="1">SUM(FN!G33)</f>
        <v>0</v>
      </c>
      <c r="BK33" s="23">
        <f ca="1">SUM(FS!D33)</f>
        <v>0</v>
      </c>
      <c r="BL33" s="68">
        <f ca="1">SUM(IT!D33)</f>
        <v>0</v>
      </c>
      <c r="BM33" s="92"/>
      <c r="BN33" s="56">
        <f t="shared" si="1"/>
        <v>15500</v>
      </c>
    </row>
    <row r="34" spans="1:66">
      <c r="A34" s="33" t="s">
        <v>213</v>
      </c>
      <c r="B34" s="33" t="s">
        <v>292</v>
      </c>
      <c r="C34" s="25"/>
      <c r="D34" s="25">
        <f t="shared" si="2"/>
        <v>0</v>
      </c>
      <c r="E34" s="25">
        <f t="shared" si="0"/>
        <v>0</v>
      </c>
      <c r="F34" s="25">
        <f t="shared" si="3"/>
        <v>0</v>
      </c>
      <c r="G34" s="25"/>
      <c r="H34" s="25"/>
      <c r="I34" s="178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92"/>
      <c r="BA34" s="68">
        <f ca="1">SUM('AC-SVC'!C34)</f>
        <v>0</v>
      </c>
      <c r="BB34" s="68">
        <f ca="1">SUM('AC-SVC'!D34)</f>
        <v>0</v>
      </c>
      <c r="BC34" s="68">
        <f ca="1">SUM('AC-SVC'!E34)</f>
        <v>0</v>
      </c>
      <c r="BD34" s="68">
        <f ca="1">SUM('AC-SVC'!F34)</f>
        <v>0</v>
      </c>
      <c r="BE34" s="68">
        <f ca="1">SUM('AC-SVC'!G34)</f>
        <v>0</v>
      </c>
      <c r="BF34" s="68">
        <f ca="1">SUM('AC-SVC'!H34)</f>
        <v>0</v>
      </c>
      <c r="BG34" s="68">
        <f ca="1">SUM(PT!C34)</f>
        <v>7200</v>
      </c>
      <c r="BH34" s="68">
        <f ca="1">SUM(CCLC!C34)</f>
        <v>0</v>
      </c>
      <c r="BI34" s="23">
        <f ca="1">SUM(FC!D34)</f>
        <v>0</v>
      </c>
      <c r="BJ34" s="68">
        <f ca="1">SUM(FN!G34)</f>
        <v>0</v>
      </c>
      <c r="BK34" s="23">
        <f ca="1">SUM(FS!D34)</f>
        <v>0</v>
      </c>
      <c r="BL34" s="68">
        <f ca="1">SUM(IT!D34)</f>
        <v>0</v>
      </c>
      <c r="BM34" s="92"/>
      <c r="BN34" s="56">
        <f t="shared" si="1"/>
        <v>7200</v>
      </c>
    </row>
    <row r="35" spans="1:66">
      <c r="A35" s="33" t="s">
        <v>212</v>
      </c>
      <c r="B35" s="33" t="s">
        <v>293</v>
      </c>
      <c r="C35" s="25"/>
      <c r="D35" s="25">
        <f t="shared" si="2"/>
        <v>0</v>
      </c>
      <c r="E35" s="25">
        <f t="shared" si="0"/>
        <v>0</v>
      </c>
      <c r="F35" s="25">
        <f t="shared" si="3"/>
        <v>0</v>
      </c>
      <c r="G35" s="25"/>
      <c r="H35" s="25"/>
      <c r="I35" s="178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92"/>
      <c r="BA35" s="68">
        <f ca="1">SUM('AC-SVC'!C35)</f>
        <v>0</v>
      </c>
      <c r="BB35" s="68">
        <f ca="1">SUM('AC-SVC'!D35)</f>
        <v>0</v>
      </c>
      <c r="BC35" s="68">
        <f ca="1">SUM('AC-SVC'!E35)</f>
        <v>0</v>
      </c>
      <c r="BD35" s="68">
        <f ca="1">SUM('AC-SVC'!F35)</f>
        <v>0</v>
      </c>
      <c r="BE35" s="68">
        <f ca="1">SUM('AC-SVC'!G35)</f>
        <v>0</v>
      </c>
      <c r="BF35" s="68">
        <f ca="1">SUM('AC-SVC'!H35)</f>
        <v>0</v>
      </c>
      <c r="BG35" s="68">
        <f ca="1">SUM(PT!C35)</f>
        <v>0</v>
      </c>
      <c r="BH35" s="68">
        <f ca="1">SUM(CCLC!C35)</f>
        <v>0</v>
      </c>
      <c r="BI35" s="23">
        <f ca="1">SUM(FC!D35)</f>
        <v>0</v>
      </c>
      <c r="BJ35" s="68">
        <f ca="1">SUM(FN!G35)</f>
        <v>0</v>
      </c>
      <c r="BK35" s="23">
        <f ca="1">SUM(FS!D35)</f>
        <v>0</v>
      </c>
      <c r="BL35" s="68">
        <f ca="1">SUM(IT!D35)</f>
        <v>0</v>
      </c>
      <c r="BM35" s="92"/>
      <c r="BN35" s="56">
        <f t="shared" si="1"/>
        <v>0</v>
      </c>
    </row>
    <row r="36" spans="1:66">
      <c r="A36" s="33" t="s">
        <v>216</v>
      </c>
      <c r="B36" s="33" t="s">
        <v>294</v>
      </c>
      <c r="C36" s="25"/>
      <c r="D36" s="25">
        <f t="shared" si="2"/>
        <v>0</v>
      </c>
      <c r="E36" s="25">
        <f t="shared" si="0"/>
        <v>0</v>
      </c>
      <c r="F36" s="25">
        <f t="shared" si="3"/>
        <v>0</v>
      </c>
      <c r="G36" s="25"/>
      <c r="H36" s="25"/>
      <c r="I36" s="178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92"/>
      <c r="BA36" s="68">
        <f ca="1">SUM('AC-SVC'!C36)</f>
        <v>0</v>
      </c>
      <c r="BB36" s="68">
        <f ca="1">SUM('AC-SVC'!D36)</f>
        <v>0</v>
      </c>
      <c r="BC36" s="68">
        <f ca="1">SUM('AC-SVC'!E36)</f>
        <v>0</v>
      </c>
      <c r="BD36" s="68">
        <f ca="1">SUM('AC-SVC'!F36)</f>
        <v>0</v>
      </c>
      <c r="BE36" s="68">
        <f ca="1">SUM('AC-SVC'!G36)</f>
        <v>0</v>
      </c>
      <c r="BF36" s="68">
        <f ca="1">SUM('AC-SVC'!H36)</f>
        <v>0</v>
      </c>
      <c r="BG36" s="68">
        <f ca="1">SUM(PT!C36)</f>
        <v>0</v>
      </c>
      <c r="BH36" s="68">
        <f ca="1">SUM(CCLC!C36)</f>
        <v>0</v>
      </c>
      <c r="BI36" s="23">
        <f ca="1">SUM(FC!D36)</f>
        <v>0</v>
      </c>
      <c r="BJ36" s="68">
        <f ca="1">SUM(FN!G36)</f>
        <v>0</v>
      </c>
      <c r="BK36" s="23">
        <f ca="1">SUM(FS!D36)</f>
        <v>0</v>
      </c>
      <c r="BL36" s="68">
        <f ca="1">SUM(IT!D36)</f>
        <v>0</v>
      </c>
      <c r="BM36" s="92"/>
      <c r="BN36" s="56">
        <f t="shared" si="1"/>
        <v>0</v>
      </c>
    </row>
    <row r="37" spans="1:66">
      <c r="A37" s="33" t="s">
        <v>217</v>
      </c>
      <c r="B37" s="33" t="s">
        <v>295</v>
      </c>
      <c r="C37" s="180"/>
      <c r="D37" s="180">
        <f t="shared" si="2"/>
        <v>0</v>
      </c>
      <c r="E37" s="180">
        <f t="shared" si="0"/>
        <v>0</v>
      </c>
      <c r="F37" s="180">
        <f t="shared" si="3"/>
        <v>0</v>
      </c>
      <c r="G37" s="180"/>
      <c r="H37" s="180"/>
      <c r="I37" s="178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92"/>
      <c r="BA37" s="22">
        <f ca="1">SUM('AC-SVC'!C37)</f>
        <v>0</v>
      </c>
      <c r="BB37" s="22">
        <f ca="1">SUM('AC-SVC'!D37)</f>
        <v>0</v>
      </c>
      <c r="BC37" s="22">
        <f ca="1">SUM('AC-SVC'!E37)</f>
        <v>0</v>
      </c>
      <c r="BD37" s="22">
        <f ca="1">SUM('AC-SVC'!F37)</f>
        <v>0</v>
      </c>
      <c r="BE37" s="22">
        <f ca="1">SUM('AC-SVC'!G37)</f>
        <v>0</v>
      </c>
      <c r="BF37" s="22">
        <f ca="1">SUM('AC-SVC'!H37)</f>
        <v>0</v>
      </c>
      <c r="BG37" s="22">
        <f ca="1">SUM(PT!C37)</f>
        <v>0</v>
      </c>
      <c r="BH37" s="22">
        <f ca="1">SUM(CCLC!C37)</f>
        <v>0</v>
      </c>
      <c r="BI37" s="22">
        <f ca="1">SUM(FC!D37)</f>
        <v>0</v>
      </c>
      <c r="BJ37" s="22">
        <f ca="1">SUM(FN!G37)</f>
        <v>0</v>
      </c>
      <c r="BK37" s="22">
        <f ca="1">SUM(FS!D37)</f>
        <v>0</v>
      </c>
      <c r="BL37" s="22">
        <f ca="1">SUM(IT!D37)</f>
        <v>0</v>
      </c>
      <c r="BM37" s="92"/>
      <c r="BN37" s="70">
        <f t="shared" si="1"/>
        <v>0</v>
      </c>
    </row>
    <row r="38" spans="1:66">
      <c r="B38" s="33" t="s">
        <v>296</v>
      </c>
      <c r="C38" s="25">
        <f t="shared" ref="C38:H38" si="4">SUM(C13:C37)</f>
        <v>236150</v>
      </c>
      <c r="D38" s="25">
        <f t="shared" si="4"/>
        <v>0</v>
      </c>
      <c r="E38" s="25">
        <f t="shared" si="4"/>
        <v>0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178"/>
      <c r="J38" s="25">
        <f t="shared" ref="J38:AY38" si="5">SUM(J13:J37)</f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  <c r="P38" s="25">
        <f t="shared" si="5"/>
        <v>0</v>
      </c>
      <c r="Q38" s="25">
        <f t="shared" si="5"/>
        <v>0</v>
      </c>
      <c r="R38" s="25">
        <f t="shared" si="5"/>
        <v>0</v>
      </c>
      <c r="S38" s="25">
        <f t="shared" si="5"/>
        <v>0</v>
      </c>
      <c r="T38" s="25">
        <f t="shared" si="5"/>
        <v>0</v>
      </c>
      <c r="U38" s="25">
        <f t="shared" si="5"/>
        <v>0</v>
      </c>
      <c r="V38" s="25">
        <f t="shared" si="5"/>
        <v>0</v>
      </c>
      <c r="W38" s="25">
        <f t="shared" si="5"/>
        <v>0</v>
      </c>
      <c r="X38" s="25">
        <f t="shared" si="5"/>
        <v>0</v>
      </c>
      <c r="Y38" s="25">
        <f t="shared" si="5"/>
        <v>0</v>
      </c>
      <c r="Z38" s="25">
        <f t="shared" si="5"/>
        <v>0</v>
      </c>
      <c r="AA38" s="25">
        <f t="shared" si="5"/>
        <v>0</v>
      </c>
      <c r="AB38" s="25">
        <f t="shared" si="5"/>
        <v>0</v>
      </c>
      <c r="AC38" s="25">
        <f t="shared" si="5"/>
        <v>0</v>
      </c>
      <c r="AD38" s="25">
        <f t="shared" si="5"/>
        <v>0</v>
      </c>
      <c r="AE38" s="25">
        <f t="shared" si="5"/>
        <v>0</v>
      </c>
      <c r="AF38" s="25">
        <f t="shared" si="5"/>
        <v>0</v>
      </c>
      <c r="AG38" s="25">
        <f t="shared" si="5"/>
        <v>0</v>
      </c>
      <c r="AH38" s="25">
        <f t="shared" si="5"/>
        <v>0</v>
      </c>
      <c r="AI38" s="25">
        <f t="shared" si="5"/>
        <v>0</v>
      </c>
      <c r="AJ38" s="25">
        <f t="shared" si="5"/>
        <v>0</v>
      </c>
      <c r="AK38" s="25">
        <f t="shared" si="5"/>
        <v>0</v>
      </c>
      <c r="AL38" s="25">
        <f t="shared" si="5"/>
        <v>0</v>
      </c>
      <c r="AM38" s="25">
        <f t="shared" si="5"/>
        <v>0</v>
      </c>
      <c r="AN38" s="25">
        <f t="shared" si="5"/>
        <v>0</v>
      </c>
      <c r="AO38" s="25">
        <f t="shared" si="5"/>
        <v>0</v>
      </c>
      <c r="AP38" s="25">
        <f t="shared" si="5"/>
        <v>0</v>
      </c>
      <c r="AQ38" s="25">
        <f t="shared" si="5"/>
        <v>0</v>
      </c>
      <c r="AR38" s="25">
        <f t="shared" si="5"/>
        <v>0</v>
      </c>
      <c r="AS38" s="25">
        <f t="shared" si="5"/>
        <v>0</v>
      </c>
      <c r="AT38" s="25">
        <f t="shared" si="5"/>
        <v>0</v>
      </c>
      <c r="AU38" s="25">
        <f t="shared" si="5"/>
        <v>0</v>
      </c>
      <c r="AV38" s="25">
        <f t="shared" si="5"/>
        <v>0</v>
      </c>
      <c r="AW38" s="25">
        <f t="shared" si="5"/>
        <v>0</v>
      </c>
      <c r="AX38" s="25">
        <f t="shared" si="5"/>
        <v>0</v>
      </c>
      <c r="AY38" s="25">
        <f t="shared" si="5"/>
        <v>0</v>
      </c>
      <c r="AZ38" s="92"/>
      <c r="BA38" s="23">
        <f t="shared" ref="BA38:BF38" si="6">+SUM(BA13:BA37)</f>
        <v>0</v>
      </c>
      <c r="BB38" s="25">
        <f t="shared" si="6"/>
        <v>0</v>
      </c>
      <c r="BC38" s="23">
        <f t="shared" si="6"/>
        <v>0</v>
      </c>
      <c r="BD38" s="23">
        <f t="shared" si="6"/>
        <v>0</v>
      </c>
      <c r="BE38" s="23">
        <f t="shared" si="6"/>
        <v>800</v>
      </c>
      <c r="BF38" s="23">
        <f t="shared" si="6"/>
        <v>0</v>
      </c>
      <c r="BG38" s="23">
        <f t="shared" ref="BG38:BL38" si="7">+SUM(BG13:BG37)</f>
        <v>74700</v>
      </c>
      <c r="BH38" s="23">
        <f t="shared" si="7"/>
        <v>73818.181818181809</v>
      </c>
      <c r="BI38" s="23">
        <f t="shared" si="7"/>
        <v>0</v>
      </c>
      <c r="BJ38" s="23">
        <f t="shared" si="7"/>
        <v>0</v>
      </c>
      <c r="BK38" s="23">
        <f t="shared" si="7"/>
        <v>101600</v>
      </c>
      <c r="BL38" s="23">
        <f t="shared" si="7"/>
        <v>0</v>
      </c>
      <c r="BM38" s="92"/>
      <c r="BN38" s="42">
        <f>SUM(BN13:BN37)</f>
        <v>487068.18181818182</v>
      </c>
    </row>
    <row r="39" spans="1:66">
      <c r="C39" s="25"/>
      <c r="D39" s="25"/>
      <c r="E39" s="25"/>
      <c r="F39" s="25"/>
      <c r="G39" s="25"/>
      <c r="H39" s="25"/>
      <c r="I39" s="178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92"/>
      <c r="BA39" s="23"/>
      <c r="BB39" s="25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92"/>
    </row>
    <row r="40" spans="1:66">
      <c r="A40" s="33" t="s">
        <v>297</v>
      </c>
      <c r="C40" s="25"/>
      <c r="D40" s="25"/>
      <c r="E40" s="25"/>
      <c r="F40" s="25"/>
      <c r="G40" s="25"/>
      <c r="H40" s="25"/>
      <c r="I40" s="178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92"/>
      <c r="BA40" s="23"/>
      <c r="BB40" s="25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92"/>
    </row>
    <row r="41" spans="1:66">
      <c r="A41" s="33" t="s">
        <v>218</v>
      </c>
      <c r="B41" s="33" t="s">
        <v>298</v>
      </c>
      <c r="C41" s="25">
        <f ca="1">+SUM!B5*8849</f>
        <v>5619115</v>
      </c>
      <c r="D41" s="25">
        <f t="shared" ref="D41:D48" si="8">SUM(J41:M41)</f>
        <v>0</v>
      </c>
      <c r="E41" s="25">
        <f t="shared" ref="E41:E48" si="9">SUM(N41:AQ41)</f>
        <v>0</v>
      </c>
      <c r="F41" s="25">
        <f t="shared" ref="F41:F48" si="10">SUM(AR41:AY41)</f>
        <v>0</v>
      </c>
      <c r="G41" s="25"/>
      <c r="H41" s="25"/>
      <c r="I41" s="178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92"/>
      <c r="BA41" s="68">
        <f ca="1">SUM('AC-SVC'!C41)</f>
        <v>0</v>
      </c>
      <c r="BB41" s="68">
        <f ca="1">SUM('AC-SVC'!D41)</f>
        <v>0</v>
      </c>
      <c r="BC41" s="68">
        <f ca="1">SUM('AC-SVC'!E41)</f>
        <v>0</v>
      </c>
      <c r="BD41" s="68">
        <f ca="1">SUM('AC-SVC'!F41)</f>
        <v>0</v>
      </c>
      <c r="BE41" s="68">
        <f ca="1">SUM('AC-SVC'!G41)</f>
        <v>0</v>
      </c>
      <c r="BF41" s="68">
        <f ca="1">SUM('AC-SVC'!H41)</f>
        <v>0</v>
      </c>
      <c r="BG41" s="68">
        <f ca="1">SUM(PT!C41)</f>
        <v>0</v>
      </c>
      <c r="BH41" s="68">
        <f ca="1">SUM(CCLC!C41)</f>
        <v>0</v>
      </c>
      <c r="BI41" s="68">
        <f ca="1">SUM(FC!D41)</f>
        <v>0</v>
      </c>
      <c r="BJ41" s="68">
        <f ca="1">SUM(FN!G41)</f>
        <v>0</v>
      </c>
      <c r="BK41" s="68">
        <f ca="1">SUM(FS!D41)</f>
        <v>0</v>
      </c>
      <c r="BL41" s="68">
        <f ca="1">SUM(IT!D41)</f>
        <v>0</v>
      </c>
      <c r="BM41" s="92"/>
      <c r="BN41" s="56">
        <f t="shared" ref="BN41:BN48" si="11">SUM(C41:H41)+SUM(BA41:BL41)</f>
        <v>5619115</v>
      </c>
    </row>
    <row r="42" spans="1:66">
      <c r="A42" s="33" t="s">
        <v>219</v>
      </c>
      <c r="B42" s="33" t="s">
        <v>220</v>
      </c>
      <c r="C42" s="25">
        <f>6000*6+4000*6</f>
        <v>60000</v>
      </c>
      <c r="D42" s="25">
        <f t="shared" si="8"/>
        <v>0</v>
      </c>
      <c r="E42" s="25">
        <f t="shared" si="9"/>
        <v>0</v>
      </c>
      <c r="F42" s="25">
        <f t="shared" si="10"/>
        <v>0</v>
      </c>
      <c r="G42" s="25"/>
      <c r="H42" s="25"/>
      <c r="I42" s="17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92"/>
      <c r="BA42" s="68">
        <f ca="1">SUM('AC-SVC'!C42)</f>
        <v>0</v>
      </c>
      <c r="BB42" s="68">
        <f ca="1">SUM('AC-SVC'!D42)</f>
        <v>0</v>
      </c>
      <c r="BC42" s="68">
        <f ca="1">SUM('AC-SVC'!E42)</f>
        <v>0</v>
      </c>
      <c r="BD42" s="68">
        <f ca="1">SUM('AC-SVC'!F42)</f>
        <v>0</v>
      </c>
      <c r="BE42" s="68">
        <f ca="1">SUM('AC-SVC'!G42)</f>
        <v>0</v>
      </c>
      <c r="BF42" s="68">
        <f ca="1">SUM('AC-SVC'!H42)</f>
        <v>0</v>
      </c>
      <c r="BG42" s="68">
        <f ca="1">SUM(PT!C42)</f>
        <v>0</v>
      </c>
      <c r="BH42" s="68">
        <f ca="1">SUM(CCLC!C42)</f>
        <v>0</v>
      </c>
      <c r="BI42" s="68">
        <f ca="1">SUM(FC!D42)</f>
        <v>0</v>
      </c>
      <c r="BJ42" s="68">
        <f ca="1">SUM(FN!G42)</f>
        <v>0</v>
      </c>
      <c r="BK42" s="68">
        <f ca="1">SUM(FS!D42)</f>
        <v>0</v>
      </c>
      <c r="BL42" s="68">
        <f ca="1">SUM(IT!D42)</f>
        <v>0</v>
      </c>
      <c r="BM42" s="92"/>
      <c r="BN42" s="56">
        <f t="shared" si="11"/>
        <v>60000</v>
      </c>
    </row>
    <row r="43" spans="1:66">
      <c r="A43" s="33" t="s">
        <v>221</v>
      </c>
      <c r="B43" s="33" t="s">
        <v>222</v>
      </c>
      <c r="C43" s="25"/>
      <c r="D43" s="25">
        <f t="shared" si="8"/>
        <v>0</v>
      </c>
      <c r="E43" s="25">
        <f t="shared" si="9"/>
        <v>0</v>
      </c>
      <c r="F43" s="25">
        <f t="shared" si="10"/>
        <v>0</v>
      </c>
      <c r="G43" s="25"/>
      <c r="H43" s="25"/>
      <c r="I43" s="178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92"/>
      <c r="BA43" s="68">
        <f ca="1">SUM('AC-SVC'!C43)</f>
        <v>0</v>
      </c>
      <c r="BB43" s="68">
        <f ca="1">SUM('AC-SVC'!D43)</f>
        <v>0</v>
      </c>
      <c r="BC43" s="68">
        <f ca="1">SUM('AC-SVC'!E43)</f>
        <v>0</v>
      </c>
      <c r="BD43" s="68">
        <f ca="1">SUM('AC-SVC'!F43)</f>
        <v>0</v>
      </c>
      <c r="BE43" s="68">
        <f ca="1">SUM('AC-SVC'!G43)</f>
        <v>0</v>
      </c>
      <c r="BF43" s="68">
        <f ca="1">SUM('AC-SVC'!H43)</f>
        <v>0</v>
      </c>
      <c r="BG43" s="68">
        <f ca="1">SUM(PT!C43)</f>
        <v>0</v>
      </c>
      <c r="BH43" s="68">
        <f ca="1">SUM(CCLC!C43)</f>
        <v>0</v>
      </c>
      <c r="BI43" s="68">
        <f ca="1">SUM(FC!D43)</f>
        <v>0</v>
      </c>
      <c r="BJ43" s="68">
        <f ca="1">SUM(FN!G43)</f>
        <v>0</v>
      </c>
      <c r="BK43" s="68">
        <f ca="1">SUM(FS!D43)</f>
        <v>0</v>
      </c>
      <c r="BL43" s="68">
        <f ca="1">SUM(IT!D43)</f>
        <v>0</v>
      </c>
      <c r="BM43" s="92"/>
      <c r="BN43" s="56">
        <f t="shared" si="11"/>
        <v>0</v>
      </c>
    </row>
    <row r="44" spans="1:66">
      <c r="A44" s="33" t="s">
        <v>223</v>
      </c>
      <c r="B44" s="33" t="s">
        <v>299</v>
      </c>
      <c r="C44" s="25"/>
      <c r="D44" s="25">
        <f t="shared" si="8"/>
        <v>0</v>
      </c>
      <c r="E44" s="25">
        <f t="shared" si="9"/>
        <v>0</v>
      </c>
      <c r="F44" s="25">
        <f t="shared" si="10"/>
        <v>0</v>
      </c>
      <c r="G44" s="25"/>
      <c r="H44" s="25"/>
      <c r="I44" s="178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92"/>
      <c r="BA44" s="68">
        <f ca="1">SUM('AC-SVC'!C44)</f>
        <v>0</v>
      </c>
      <c r="BB44" s="68">
        <f ca="1">SUM('AC-SVC'!D44)</f>
        <v>0</v>
      </c>
      <c r="BC44" s="68">
        <f ca="1">SUM('AC-SVC'!E44)</f>
        <v>0</v>
      </c>
      <c r="BD44" s="68">
        <f ca="1">SUM('AC-SVC'!F44)</f>
        <v>0</v>
      </c>
      <c r="BE44" s="68">
        <f ca="1">SUM('AC-SVC'!G44)</f>
        <v>0</v>
      </c>
      <c r="BF44" s="68">
        <f ca="1">SUM('AC-SVC'!H44)</f>
        <v>0</v>
      </c>
      <c r="BG44" s="68">
        <f ca="1">SUM(PT!C44)</f>
        <v>0</v>
      </c>
      <c r="BH44" s="68">
        <f ca="1">SUM(CCLC!C44)</f>
        <v>0</v>
      </c>
      <c r="BI44" s="68">
        <f ca="1">SUM(FC!D44)</f>
        <v>0</v>
      </c>
      <c r="BJ44" s="68">
        <f ca="1">SUM(FN!G44)</f>
        <v>0</v>
      </c>
      <c r="BK44" s="68">
        <f ca="1">SUM(FS!D44)</f>
        <v>0</v>
      </c>
      <c r="BL44" s="68">
        <f ca="1">SUM(IT!D44)</f>
        <v>0</v>
      </c>
      <c r="BM44" s="92"/>
      <c r="BN44" s="56">
        <f t="shared" si="11"/>
        <v>0</v>
      </c>
    </row>
    <row r="45" spans="1:66">
      <c r="A45" s="33" t="s">
        <v>224</v>
      </c>
      <c r="B45" s="33" t="s">
        <v>225</v>
      </c>
      <c r="C45" s="25"/>
      <c r="D45" s="25">
        <f t="shared" si="8"/>
        <v>0</v>
      </c>
      <c r="E45" s="25">
        <f t="shared" si="9"/>
        <v>0</v>
      </c>
      <c r="F45" s="25">
        <f t="shared" si="10"/>
        <v>0</v>
      </c>
      <c r="G45" s="25"/>
      <c r="H45" s="25"/>
      <c r="I45" s="178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92"/>
      <c r="BA45" s="68">
        <f ca="1">SUM('AC-SVC'!C45)</f>
        <v>0</v>
      </c>
      <c r="BB45" s="68">
        <f ca="1">SUM('AC-SVC'!D45)</f>
        <v>0</v>
      </c>
      <c r="BC45" s="68">
        <f ca="1">SUM('AC-SVC'!E45)</f>
        <v>0</v>
      </c>
      <c r="BD45" s="68">
        <f ca="1">SUM('AC-SVC'!F45)</f>
        <v>0</v>
      </c>
      <c r="BE45" s="68">
        <f ca="1">SUM('AC-SVC'!G45)</f>
        <v>0</v>
      </c>
      <c r="BF45" s="68">
        <f ca="1">SUM('AC-SVC'!H45)</f>
        <v>0</v>
      </c>
      <c r="BG45" s="68">
        <f ca="1">SUM(PT!C45)</f>
        <v>0</v>
      </c>
      <c r="BH45" s="68">
        <f ca="1">SUM(CCLC!C45)</f>
        <v>0</v>
      </c>
      <c r="BI45" s="68">
        <f ca="1">SUM(FC!D45)</f>
        <v>0</v>
      </c>
      <c r="BJ45" s="68">
        <f ca="1">SUM(FN!G45)</f>
        <v>0</v>
      </c>
      <c r="BK45" s="68">
        <f ca="1">SUM(FS!D45)</f>
        <v>0</v>
      </c>
      <c r="BL45" s="68">
        <f ca="1">SUM(IT!D45)</f>
        <v>0</v>
      </c>
      <c r="BM45" s="92"/>
      <c r="BN45" s="56">
        <f t="shared" si="11"/>
        <v>0</v>
      </c>
    </row>
    <row r="46" spans="1:66">
      <c r="A46" s="33" t="s">
        <v>226</v>
      </c>
      <c r="B46" s="33" t="s">
        <v>227</v>
      </c>
      <c r="C46" s="25"/>
      <c r="D46" s="25">
        <f t="shared" si="8"/>
        <v>0</v>
      </c>
      <c r="E46" s="25">
        <f t="shared" si="9"/>
        <v>0</v>
      </c>
      <c r="F46" s="25">
        <f t="shared" si="10"/>
        <v>0</v>
      </c>
      <c r="G46" s="25"/>
      <c r="H46" s="25"/>
      <c r="I46" s="178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92"/>
      <c r="BA46" s="68">
        <f ca="1">SUM('AC-SVC'!C46)</f>
        <v>0</v>
      </c>
      <c r="BB46" s="68">
        <f ca="1">SUM('AC-SVC'!D46)</f>
        <v>0</v>
      </c>
      <c r="BC46" s="68">
        <f ca="1">SUM('AC-SVC'!E46)</f>
        <v>0</v>
      </c>
      <c r="BD46" s="68">
        <f ca="1">SUM('AC-SVC'!F46)</f>
        <v>0</v>
      </c>
      <c r="BE46" s="68">
        <f ca="1">SUM('AC-SVC'!G46)</f>
        <v>0</v>
      </c>
      <c r="BF46" s="68">
        <f ca="1">SUM('AC-SVC'!H46)</f>
        <v>0</v>
      </c>
      <c r="BG46" s="68">
        <f ca="1">SUM(PT!C46)</f>
        <v>0</v>
      </c>
      <c r="BH46" s="68">
        <f ca="1">SUM(CCLC!C46)</f>
        <v>0</v>
      </c>
      <c r="BI46" s="68">
        <f ca="1">SUM(FC!D46)</f>
        <v>0</v>
      </c>
      <c r="BJ46" s="68">
        <f ca="1">SUM(FN!G46)</f>
        <v>0</v>
      </c>
      <c r="BK46" s="68">
        <f ca="1">SUM(FS!D46)</f>
        <v>0</v>
      </c>
      <c r="BL46" s="68">
        <f ca="1">SUM(IT!D46)</f>
        <v>0</v>
      </c>
      <c r="BM46" s="92"/>
      <c r="BN46" s="56">
        <f t="shared" si="11"/>
        <v>0</v>
      </c>
    </row>
    <row r="47" spans="1:66">
      <c r="A47" s="33" t="s">
        <v>228</v>
      </c>
      <c r="B47" s="33" t="s">
        <v>300</v>
      </c>
      <c r="C47" s="25"/>
      <c r="D47" s="25">
        <f t="shared" si="8"/>
        <v>0</v>
      </c>
      <c r="E47" s="25">
        <f t="shared" si="9"/>
        <v>0</v>
      </c>
      <c r="F47" s="25">
        <f t="shared" si="10"/>
        <v>0</v>
      </c>
      <c r="G47" s="25"/>
      <c r="H47" s="25"/>
      <c r="I47" s="178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92"/>
      <c r="BA47" s="68">
        <f ca="1">SUM('AC-SVC'!C47)</f>
        <v>0</v>
      </c>
      <c r="BB47" s="68">
        <f ca="1">SUM('AC-SVC'!D47)</f>
        <v>0</v>
      </c>
      <c r="BC47" s="68">
        <f ca="1">SUM('AC-SVC'!E47)</f>
        <v>0</v>
      </c>
      <c r="BD47" s="68">
        <f ca="1">SUM('AC-SVC'!F47)</f>
        <v>0</v>
      </c>
      <c r="BE47" s="68">
        <f ca="1">SUM('AC-SVC'!G47)</f>
        <v>0</v>
      </c>
      <c r="BF47" s="68">
        <f ca="1">SUM('AC-SVC'!H47)</f>
        <v>0</v>
      </c>
      <c r="BG47" s="68">
        <f ca="1">SUM(PT!C47)</f>
        <v>0</v>
      </c>
      <c r="BH47" s="68">
        <f ca="1">SUM(CCLC!C47)</f>
        <v>0</v>
      </c>
      <c r="BI47" s="68">
        <f ca="1">SUM(FC!D47)</f>
        <v>0</v>
      </c>
      <c r="BJ47" s="68">
        <f ca="1">SUM(FN!G47)</f>
        <v>0</v>
      </c>
      <c r="BK47" s="68">
        <f ca="1">SUM(FS!D47)</f>
        <v>0</v>
      </c>
      <c r="BL47" s="68">
        <f ca="1">SUM(IT!D47)</f>
        <v>0</v>
      </c>
      <c r="BM47" s="92"/>
      <c r="BN47" s="56">
        <f t="shared" si="11"/>
        <v>0</v>
      </c>
    </row>
    <row r="48" spans="1:66">
      <c r="A48" s="33" t="s">
        <v>229</v>
      </c>
      <c r="B48" s="33" t="s">
        <v>301</v>
      </c>
      <c r="C48" s="180"/>
      <c r="D48" s="180">
        <f t="shared" si="8"/>
        <v>0</v>
      </c>
      <c r="E48" s="180">
        <f t="shared" si="9"/>
        <v>0</v>
      </c>
      <c r="F48" s="180">
        <f t="shared" si="10"/>
        <v>0</v>
      </c>
      <c r="G48" s="180"/>
      <c r="H48" s="180"/>
      <c r="I48" s="178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92"/>
      <c r="BA48" s="22">
        <f ca="1">SUM('AC-SVC'!C48)</f>
        <v>0</v>
      </c>
      <c r="BB48" s="22">
        <f ca="1">SUM('AC-SVC'!D48)</f>
        <v>0</v>
      </c>
      <c r="BC48" s="22">
        <f ca="1">SUM('AC-SVC'!E48)</f>
        <v>0</v>
      </c>
      <c r="BD48" s="22">
        <f ca="1">SUM('AC-SVC'!F48)</f>
        <v>0</v>
      </c>
      <c r="BE48" s="22">
        <f ca="1">SUM('AC-SVC'!G48)</f>
        <v>0</v>
      </c>
      <c r="BF48" s="22">
        <f ca="1">SUM('AC-SVC'!H48)</f>
        <v>0</v>
      </c>
      <c r="BG48" s="22">
        <f ca="1">SUM(PT!C48)</f>
        <v>0</v>
      </c>
      <c r="BH48" s="22">
        <f ca="1">SUM(CCLC!C48)</f>
        <v>0</v>
      </c>
      <c r="BI48" s="22">
        <f ca="1">SUM(FC!D48)</f>
        <v>0</v>
      </c>
      <c r="BJ48" s="22">
        <f ca="1">SUM(FN!G48)</f>
        <v>0</v>
      </c>
      <c r="BK48" s="22">
        <f ca="1">SUM(FS!D48)</f>
        <v>0</v>
      </c>
      <c r="BL48" s="22">
        <f ca="1">SUM(IT!D48)</f>
        <v>0</v>
      </c>
      <c r="BM48" s="92"/>
      <c r="BN48" s="70">
        <f t="shared" si="11"/>
        <v>0</v>
      </c>
    </row>
    <row r="49" spans="1:66">
      <c r="B49" s="33" t="s">
        <v>302</v>
      </c>
      <c r="C49" s="25">
        <f t="shared" ref="C49:H49" si="12">SUM(C41:C48)</f>
        <v>5679115</v>
      </c>
      <c r="D49" s="25">
        <f t="shared" si="12"/>
        <v>0</v>
      </c>
      <c r="E49" s="25">
        <f t="shared" si="12"/>
        <v>0</v>
      </c>
      <c r="F49" s="25">
        <f t="shared" si="12"/>
        <v>0</v>
      </c>
      <c r="G49" s="25">
        <f t="shared" si="12"/>
        <v>0</v>
      </c>
      <c r="H49" s="25">
        <f t="shared" si="12"/>
        <v>0</v>
      </c>
      <c r="I49" s="178"/>
      <c r="J49" s="25">
        <f t="shared" ref="J49:AY49" si="13">SUM(J41:J48)</f>
        <v>0</v>
      </c>
      <c r="K49" s="25">
        <f t="shared" si="13"/>
        <v>0</v>
      </c>
      <c r="L49" s="25">
        <f t="shared" si="13"/>
        <v>0</v>
      </c>
      <c r="M49" s="25">
        <f t="shared" si="13"/>
        <v>0</v>
      </c>
      <c r="N49" s="25">
        <f t="shared" si="13"/>
        <v>0</v>
      </c>
      <c r="O49" s="25">
        <f t="shared" si="13"/>
        <v>0</v>
      </c>
      <c r="P49" s="25">
        <f t="shared" si="13"/>
        <v>0</v>
      </c>
      <c r="Q49" s="25">
        <f t="shared" si="13"/>
        <v>0</v>
      </c>
      <c r="R49" s="25">
        <f t="shared" si="13"/>
        <v>0</v>
      </c>
      <c r="S49" s="25">
        <f t="shared" si="13"/>
        <v>0</v>
      </c>
      <c r="T49" s="25">
        <f t="shared" si="13"/>
        <v>0</v>
      </c>
      <c r="U49" s="25">
        <f t="shared" si="13"/>
        <v>0</v>
      </c>
      <c r="V49" s="25">
        <f t="shared" si="13"/>
        <v>0</v>
      </c>
      <c r="W49" s="25">
        <f t="shared" si="13"/>
        <v>0</v>
      </c>
      <c r="X49" s="25">
        <f t="shared" si="13"/>
        <v>0</v>
      </c>
      <c r="Y49" s="25">
        <f t="shared" si="13"/>
        <v>0</v>
      </c>
      <c r="Z49" s="25">
        <f t="shared" si="13"/>
        <v>0</v>
      </c>
      <c r="AA49" s="25">
        <f t="shared" si="13"/>
        <v>0</v>
      </c>
      <c r="AB49" s="25">
        <f t="shared" si="13"/>
        <v>0</v>
      </c>
      <c r="AC49" s="25">
        <f t="shared" si="13"/>
        <v>0</v>
      </c>
      <c r="AD49" s="25">
        <f t="shared" si="13"/>
        <v>0</v>
      </c>
      <c r="AE49" s="25">
        <f t="shared" si="13"/>
        <v>0</v>
      </c>
      <c r="AF49" s="25">
        <f t="shared" si="13"/>
        <v>0</v>
      </c>
      <c r="AG49" s="25">
        <f t="shared" si="13"/>
        <v>0</v>
      </c>
      <c r="AH49" s="25">
        <f t="shared" si="13"/>
        <v>0</v>
      </c>
      <c r="AI49" s="25">
        <f t="shared" si="13"/>
        <v>0</v>
      </c>
      <c r="AJ49" s="25">
        <f t="shared" si="13"/>
        <v>0</v>
      </c>
      <c r="AK49" s="25">
        <f t="shared" si="13"/>
        <v>0</v>
      </c>
      <c r="AL49" s="25">
        <f t="shared" si="13"/>
        <v>0</v>
      </c>
      <c r="AM49" s="25">
        <f t="shared" si="13"/>
        <v>0</v>
      </c>
      <c r="AN49" s="25">
        <f t="shared" si="13"/>
        <v>0</v>
      </c>
      <c r="AO49" s="25">
        <f t="shared" si="13"/>
        <v>0</v>
      </c>
      <c r="AP49" s="25">
        <f t="shared" si="13"/>
        <v>0</v>
      </c>
      <c r="AQ49" s="25">
        <f t="shared" si="13"/>
        <v>0</v>
      </c>
      <c r="AR49" s="25">
        <f t="shared" si="13"/>
        <v>0</v>
      </c>
      <c r="AS49" s="25">
        <f t="shared" si="13"/>
        <v>0</v>
      </c>
      <c r="AT49" s="25">
        <f t="shared" si="13"/>
        <v>0</v>
      </c>
      <c r="AU49" s="25">
        <f t="shared" si="13"/>
        <v>0</v>
      </c>
      <c r="AV49" s="25">
        <f t="shared" si="13"/>
        <v>0</v>
      </c>
      <c r="AW49" s="25">
        <f t="shared" si="13"/>
        <v>0</v>
      </c>
      <c r="AX49" s="25">
        <f t="shared" si="13"/>
        <v>0</v>
      </c>
      <c r="AY49" s="25">
        <f t="shared" si="13"/>
        <v>0</v>
      </c>
      <c r="AZ49" s="92"/>
      <c r="BA49" s="23">
        <f t="shared" ref="BA49:BF49" si="14">+SUM(BA41:BA48)</f>
        <v>0</v>
      </c>
      <c r="BB49" s="25">
        <f t="shared" si="14"/>
        <v>0</v>
      </c>
      <c r="BC49" s="23">
        <f t="shared" si="14"/>
        <v>0</v>
      </c>
      <c r="BD49" s="23">
        <f t="shared" si="14"/>
        <v>0</v>
      </c>
      <c r="BE49" s="23">
        <f t="shared" si="14"/>
        <v>0</v>
      </c>
      <c r="BF49" s="23">
        <f t="shared" si="14"/>
        <v>0</v>
      </c>
      <c r="BG49" s="23">
        <f t="shared" ref="BG49:BL49" si="15">+SUM(BG41:BG48)</f>
        <v>0</v>
      </c>
      <c r="BH49" s="23">
        <f t="shared" si="15"/>
        <v>0</v>
      </c>
      <c r="BI49" s="23">
        <f t="shared" si="15"/>
        <v>0</v>
      </c>
      <c r="BJ49" s="23">
        <f t="shared" si="15"/>
        <v>0</v>
      </c>
      <c r="BK49" s="23">
        <f t="shared" si="15"/>
        <v>0</v>
      </c>
      <c r="BL49" s="23">
        <f t="shared" si="15"/>
        <v>0</v>
      </c>
      <c r="BM49" s="92"/>
      <c r="BN49" s="56">
        <f>SUM(BN41:BN48)</f>
        <v>5679115</v>
      </c>
    </row>
    <row r="50" spans="1:66">
      <c r="C50" s="25"/>
      <c r="D50" s="25"/>
      <c r="E50" s="25"/>
      <c r="F50" s="25"/>
      <c r="G50" s="25"/>
      <c r="H50" s="25"/>
      <c r="I50" s="178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92"/>
      <c r="BA50" s="23"/>
      <c r="BB50" s="25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92"/>
    </row>
    <row r="51" spans="1:66">
      <c r="A51" s="33" t="s">
        <v>303</v>
      </c>
      <c r="C51" s="25"/>
      <c r="D51" s="25"/>
      <c r="E51" s="25"/>
      <c r="F51" s="25"/>
      <c r="G51" s="25"/>
      <c r="H51" s="25"/>
      <c r="I51" s="178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92"/>
      <c r="BA51" s="23"/>
      <c r="BB51" s="25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92"/>
    </row>
    <row r="52" spans="1:66">
      <c r="A52" s="33" t="s">
        <v>304</v>
      </c>
      <c r="C52" s="25"/>
      <c r="D52" s="25"/>
      <c r="E52" s="25"/>
      <c r="F52" s="25"/>
      <c r="G52" s="25"/>
      <c r="H52" s="25"/>
      <c r="I52" s="17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92"/>
      <c r="BA52" s="23"/>
      <c r="BB52" s="25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92"/>
    </row>
    <row r="53" spans="1:66">
      <c r="A53" s="33" t="s">
        <v>230</v>
      </c>
      <c r="B53" s="33" t="s">
        <v>407</v>
      </c>
      <c r="C53" s="25">
        <v>150000</v>
      </c>
      <c r="D53" s="25">
        <f t="shared" ref="D53:D65" si="16">SUM(J53:M53)</f>
        <v>0</v>
      </c>
      <c r="E53" s="166">
        <f t="shared" ref="E53:E65" si="17">SUM(N53:AQ53)</f>
        <v>0</v>
      </c>
      <c r="F53" s="25">
        <f t="shared" ref="F53:F65" si="18">SUM(AR53:AY53)</f>
        <v>0</v>
      </c>
      <c r="G53" s="25"/>
      <c r="H53" s="25"/>
      <c r="I53" s="178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92"/>
      <c r="BA53" s="68">
        <f ca="1">SUM('AC-SVC'!C53)</f>
        <v>0</v>
      </c>
      <c r="BB53" s="68">
        <f ca="1">SUM('AC-SVC'!D53)</f>
        <v>0</v>
      </c>
      <c r="BC53" s="68">
        <f ca="1">SUM('AC-SVC'!E53)</f>
        <v>0</v>
      </c>
      <c r="BD53" s="68">
        <f ca="1">SUM('AC-SVC'!F53)</f>
        <v>0</v>
      </c>
      <c r="BE53" s="68">
        <f ca="1">SUM('AC-SVC'!G53)</f>
        <v>0</v>
      </c>
      <c r="BF53" s="68">
        <f ca="1">SUM('AC-SVC'!H53)</f>
        <v>0</v>
      </c>
      <c r="BG53" s="68">
        <f ca="1">SUM(PT!C53)</f>
        <v>0</v>
      </c>
      <c r="BH53" s="68">
        <f ca="1">SUM(CCLC!C53)</f>
        <v>0</v>
      </c>
      <c r="BI53" s="68">
        <f ca="1">SUM(FC!D53)</f>
        <v>0</v>
      </c>
      <c r="BJ53" s="68">
        <f ca="1">SUM(FN!G53)</f>
        <v>0</v>
      </c>
      <c r="BK53" s="68">
        <f ca="1">SUM(FS!D53)</f>
        <v>0</v>
      </c>
      <c r="BL53" s="68">
        <f ca="1">SUM(IT!D53)</f>
        <v>0</v>
      </c>
      <c r="BM53" s="92"/>
      <c r="BN53" s="69">
        <f t="shared" ref="BN53:BN65" si="19">SUM(C53:H53)+SUM(BA53:BL53)</f>
        <v>150000</v>
      </c>
    </row>
    <row r="54" spans="1:66">
      <c r="A54" s="33" t="s">
        <v>231</v>
      </c>
      <c r="B54" s="33" t="s">
        <v>408</v>
      </c>
      <c r="C54" s="25"/>
      <c r="D54" s="25">
        <f t="shared" si="16"/>
        <v>0</v>
      </c>
      <c r="E54" s="166">
        <f t="shared" si="17"/>
        <v>0</v>
      </c>
      <c r="F54" s="25">
        <f t="shared" si="18"/>
        <v>0</v>
      </c>
      <c r="G54" s="25"/>
      <c r="H54" s="25"/>
      <c r="I54" s="178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92"/>
      <c r="BA54" s="68">
        <f ca="1">SUM('AC-SVC'!C54)</f>
        <v>0</v>
      </c>
      <c r="BB54" s="68">
        <f ca="1">SUM('AC-SVC'!D54)</f>
        <v>0</v>
      </c>
      <c r="BC54" s="68">
        <f ca="1">SUM('AC-SVC'!E54)</f>
        <v>0</v>
      </c>
      <c r="BD54" s="68">
        <f ca="1">SUM('AC-SVC'!F54)</f>
        <v>0</v>
      </c>
      <c r="BE54" s="68">
        <f ca="1">SUM('AC-SVC'!G54)</f>
        <v>0</v>
      </c>
      <c r="BF54" s="68">
        <f ca="1">SUM('AC-SVC'!H54)</f>
        <v>0</v>
      </c>
      <c r="BG54" s="68">
        <f ca="1">SUM(PT!C54)</f>
        <v>0</v>
      </c>
      <c r="BH54" s="68">
        <f ca="1">SUM(CCLC!C54)</f>
        <v>0</v>
      </c>
      <c r="BI54" s="68">
        <f ca="1">SUM(FC!D54)</f>
        <v>0</v>
      </c>
      <c r="BJ54" s="68">
        <f ca="1">SUM(FN!G54)</f>
        <v>0</v>
      </c>
      <c r="BK54" s="68">
        <f ca="1">SUM(FS!D54)</f>
        <v>0</v>
      </c>
      <c r="BL54" s="68">
        <f ca="1">SUM(IT!D54)</f>
        <v>0</v>
      </c>
      <c r="BM54" s="92"/>
      <c r="BN54" s="69">
        <f t="shared" si="19"/>
        <v>0</v>
      </c>
    </row>
    <row r="55" spans="1:66">
      <c r="A55" s="33" t="s">
        <v>232</v>
      </c>
      <c r="B55" s="33" t="s">
        <v>409</v>
      </c>
      <c r="C55" s="25">
        <v>12000</v>
      </c>
      <c r="D55" s="25">
        <f t="shared" si="16"/>
        <v>0</v>
      </c>
      <c r="E55" s="166">
        <f t="shared" si="17"/>
        <v>0</v>
      </c>
      <c r="F55" s="25">
        <f t="shared" si="18"/>
        <v>0</v>
      </c>
      <c r="G55" s="25"/>
      <c r="H55" s="25"/>
      <c r="I55" s="178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92"/>
      <c r="BA55" s="68">
        <f ca="1">SUM('AC-SVC'!C55)</f>
        <v>0</v>
      </c>
      <c r="BB55" s="68">
        <f ca="1">SUM('AC-SVC'!D55)</f>
        <v>0</v>
      </c>
      <c r="BC55" s="68">
        <f ca="1">SUM('AC-SVC'!E55)</f>
        <v>0</v>
      </c>
      <c r="BD55" s="68">
        <f ca="1">SUM('AC-SVC'!F55)</f>
        <v>0</v>
      </c>
      <c r="BE55" s="68">
        <f ca="1">SUM('AC-SVC'!G55)</f>
        <v>0</v>
      </c>
      <c r="BF55" s="68">
        <f ca="1">SUM('AC-SVC'!H55)</f>
        <v>0</v>
      </c>
      <c r="BG55" s="68">
        <f ca="1">SUM(PT!C55)</f>
        <v>0</v>
      </c>
      <c r="BH55" s="68">
        <f ca="1">SUM(CCLC!C55)</f>
        <v>0</v>
      </c>
      <c r="BI55" s="68">
        <f ca="1">SUM(FC!D55)</f>
        <v>0</v>
      </c>
      <c r="BJ55" s="68">
        <f ca="1">SUM(FN!G55)</f>
        <v>0</v>
      </c>
      <c r="BK55" s="68">
        <f ca="1">SUM(FS!D55)</f>
        <v>0</v>
      </c>
      <c r="BL55" s="68">
        <f ca="1">SUM(IT!D55)</f>
        <v>0</v>
      </c>
      <c r="BM55" s="92"/>
      <c r="BN55" s="69">
        <f t="shared" si="19"/>
        <v>12000</v>
      </c>
    </row>
    <row r="56" spans="1:66">
      <c r="A56" s="33" t="s">
        <v>233</v>
      </c>
      <c r="B56" s="33" t="s">
        <v>305</v>
      </c>
      <c r="C56" s="25"/>
      <c r="D56" s="25">
        <f t="shared" si="16"/>
        <v>0</v>
      </c>
      <c r="E56" s="166">
        <f t="shared" si="17"/>
        <v>0</v>
      </c>
      <c r="F56" s="25">
        <f t="shared" si="18"/>
        <v>0</v>
      </c>
      <c r="G56" s="25"/>
      <c r="H56" s="25"/>
      <c r="I56" s="178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92"/>
      <c r="BA56" s="68">
        <f ca="1">SUM('AC-SVC'!C56)</f>
        <v>0</v>
      </c>
      <c r="BB56" s="68">
        <f ca="1">SUM('AC-SVC'!D56)</f>
        <v>0</v>
      </c>
      <c r="BC56" s="68">
        <f ca="1">SUM('AC-SVC'!E56)</f>
        <v>0</v>
      </c>
      <c r="BD56" s="68">
        <f ca="1">SUM('AC-SVC'!F56)</f>
        <v>0</v>
      </c>
      <c r="BE56" s="68">
        <f ca="1">SUM('AC-SVC'!G56)</f>
        <v>0</v>
      </c>
      <c r="BF56" s="68">
        <f ca="1">SUM('AC-SVC'!H56)</f>
        <v>0</v>
      </c>
      <c r="BG56" s="68">
        <f ca="1">SUM(PT!C56)</f>
        <v>0</v>
      </c>
      <c r="BH56" s="68">
        <f ca="1">SUM(CCLC!C56)</f>
        <v>0</v>
      </c>
      <c r="BI56" s="68">
        <f ca="1">SUM(FC!D56)</f>
        <v>0</v>
      </c>
      <c r="BJ56" s="68">
        <f ca="1">SUM(FN!G56)</f>
        <v>0</v>
      </c>
      <c r="BK56" s="68">
        <f ca="1">SUM(FS!D56)</f>
        <v>0</v>
      </c>
      <c r="BL56" s="68">
        <f ca="1">SUM(IT!D56)</f>
        <v>0</v>
      </c>
      <c r="BM56" s="92"/>
      <c r="BN56" s="69">
        <f t="shared" si="19"/>
        <v>0</v>
      </c>
    </row>
    <row r="57" spans="1:66">
      <c r="A57" s="33" t="s">
        <v>234</v>
      </c>
      <c r="B57" s="33" t="s">
        <v>306</v>
      </c>
      <c r="C57" s="25"/>
      <c r="D57" s="25">
        <f t="shared" si="16"/>
        <v>0</v>
      </c>
      <c r="E57" s="166">
        <f t="shared" si="17"/>
        <v>0</v>
      </c>
      <c r="F57" s="25">
        <f t="shared" si="18"/>
        <v>0</v>
      </c>
      <c r="G57" s="25"/>
      <c r="H57" s="25"/>
      <c r="I57" s="178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92"/>
      <c r="BA57" s="68">
        <f ca="1">SUM('AC-SVC'!C57)</f>
        <v>0</v>
      </c>
      <c r="BB57" s="68">
        <f ca="1">SUM('AC-SVC'!D57)</f>
        <v>0</v>
      </c>
      <c r="BC57" s="68">
        <f ca="1">SUM('AC-SVC'!E57)</f>
        <v>0</v>
      </c>
      <c r="BD57" s="68">
        <f ca="1">SUM('AC-SVC'!F57)</f>
        <v>0</v>
      </c>
      <c r="BE57" s="68">
        <f ca="1">SUM('AC-SVC'!G57)</f>
        <v>0</v>
      </c>
      <c r="BF57" s="68">
        <f ca="1">SUM('AC-SVC'!H57)</f>
        <v>0</v>
      </c>
      <c r="BG57" s="68">
        <f ca="1">SUM(PT!C57)</f>
        <v>0</v>
      </c>
      <c r="BH57" s="68">
        <f ca="1">SUM(CCLC!C57)</f>
        <v>0</v>
      </c>
      <c r="BI57" s="68">
        <f ca="1">SUM(FC!D57)</f>
        <v>0</v>
      </c>
      <c r="BJ57" s="68">
        <f ca="1">SUM(FN!G57)</f>
        <v>0</v>
      </c>
      <c r="BK57" s="68">
        <f ca="1">SUM(FS!D57)</f>
        <v>206248</v>
      </c>
      <c r="BL57" s="68">
        <f ca="1">SUM(IT!D57)</f>
        <v>0</v>
      </c>
      <c r="BM57" s="92"/>
      <c r="BN57" s="69">
        <f t="shared" si="19"/>
        <v>206248</v>
      </c>
    </row>
    <row r="58" spans="1:66">
      <c r="A58" s="33" t="s">
        <v>0</v>
      </c>
      <c r="B58" s="33" t="s">
        <v>307</v>
      </c>
      <c r="C58" s="25"/>
      <c r="D58" s="25">
        <f t="shared" si="16"/>
        <v>0</v>
      </c>
      <c r="E58" s="166">
        <f t="shared" si="17"/>
        <v>0</v>
      </c>
      <c r="F58" s="25">
        <f t="shared" si="18"/>
        <v>0</v>
      </c>
      <c r="G58" s="25"/>
      <c r="H58" s="25"/>
      <c r="I58" s="178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92"/>
      <c r="BA58" s="68">
        <f ca="1">SUM('AC-SVC'!C58)</f>
        <v>0</v>
      </c>
      <c r="BB58" s="68">
        <f ca="1">SUM('AC-SVC'!D58)</f>
        <v>0</v>
      </c>
      <c r="BC58" s="68">
        <f ca="1">SUM('AC-SVC'!E58)</f>
        <v>0</v>
      </c>
      <c r="BD58" s="68">
        <f ca="1">SUM('AC-SVC'!F58)</f>
        <v>0</v>
      </c>
      <c r="BE58" s="68">
        <f ca="1">SUM('AC-SVC'!G58)</f>
        <v>0</v>
      </c>
      <c r="BF58" s="68">
        <f ca="1">SUM('AC-SVC'!H58)</f>
        <v>0</v>
      </c>
      <c r="BG58" s="68">
        <f ca="1">SUM(PT!C58)</f>
        <v>0</v>
      </c>
      <c r="BH58" s="68">
        <f ca="1">SUM(CCLC!C58)</f>
        <v>0</v>
      </c>
      <c r="BI58" s="68">
        <f ca="1">SUM(FC!D58)</f>
        <v>0</v>
      </c>
      <c r="BJ58" s="68">
        <f ca="1">SUM(FN!G58)</f>
        <v>0</v>
      </c>
      <c r="BK58" s="68">
        <f ca="1">SUM(FS!D58)</f>
        <v>0</v>
      </c>
      <c r="BL58" s="68">
        <f ca="1">SUM(IT!D58)</f>
        <v>21798.392</v>
      </c>
      <c r="BM58" s="92"/>
      <c r="BN58" s="69">
        <f t="shared" si="19"/>
        <v>21798.392</v>
      </c>
    </row>
    <row r="59" spans="1:66">
      <c r="A59" s="33" t="s">
        <v>1</v>
      </c>
      <c r="B59" s="33" t="s">
        <v>308</v>
      </c>
      <c r="C59" s="25"/>
      <c r="D59" s="25">
        <f t="shared" si="16"/>
        <v>0</v>
      </c>
      <c r="E59" s="166">
        <f t="shared" si="17"/>
        <v>0</v>
      </c>
      <c r="F59" s="25">
        <f t="shared" si="18"/>
        <v>0</v>
      </c>
      <c r="G59" s="25"/>
      <c r="H59" s="25"/>
      <c r="I59" s="178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92"/>
      <c r="BA59" s="68">
        <f ca="1">SUM('AC-SVC'!C59)</f>
        <v>0</v>
      </c>
      <c r="BB59" s="68">
        <f ca="1">SUM('AC-SVC'!D59)</f>
        <v>0</v>
      </c>
      <c r="BC59" s="68">
        <f ca="1">SUM('AC-SVC'!E59)</f>
        <v>0</v>
      </c>
      <c r="BD59" s="68">
        <f ca="1">SUM('AC-SVC'!F59)</f>
        <v>0</v>
      </c>
      <c r="BE59" s="68">
        <f ca="1">SUM('AC-SVC'!G59)</f>
        <v>0</v>
      </c>
      <c r="BF59" s="68">
        <f ca="1">SUM('AC-SVC'!H59)</f>
        <v>0</v>
      </c>
      <c r="BG59" s="68">
        <f ca="1">SUM(PT!C59)</f>
        <v>0</v>
      </c>
      <c r="BH59" s="68">
        <f ca="1">SUM(CCLC!C59)</f>
        <v>188152</v>
      </c>
      <c r="BI59" s="68">
        <f ca="1">SUM(FC!D59)</f>
        <v>0</v>
      </c>
      <c r="BJ59" s="68">
        <f ca="1">SUM(FN!G59)</f>
        <v>0</v>
      </c>
      <c r="BK59" s="68">
        <f ca="1">SUM(FS!D59)</f>
        <v>0</v>
      </c>
      <c r="BL59" s="68">
        <f ca="1">SUM(IT!D59)</f>
        <v>0</v>
      </c>
      <c r="BM59" s="92"/>
      <c r="BN59" s="69">
        <f t="shared" si="19"/>
        <v>188152</v>
      </c>
    </row>
    <row r="60" spans="1:66">
      <c r="A60" s="33" t="s">
        <v>3</v>
      </c>
      <c r="B60" s="33" t="s">
        <v>2</v>
      </c>
      <c r="C60" s="25"/>
      <c r="D60" s="25">
        <f t="shared" si="16"/>
        <v>0</v>
      </c>
      <c r="E60" s="166">
        <f t="shared" si="17"/>
        <v>0</v>
      </c>
      <c r="F60" s="25">
        <f t="shared" si="18"/>
        <v>0</v>
      </c>
      <c r="G60" s="25"/>
      <c r="H60" s="25"/>
      <c r="I60" s="178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92"/>
      <c r="BA60" s="68">
        <f ca="1">SUM('AC-SVC'!C60)</f>
        <v>0</v>
      </c>
      <c r="BB60" s="68">
        <f ca="1">SUM('AC-SVC'!D60)</f>
        <v>0</v>
      </c>
      <c r="BC60" s="68">
        <f ca="1">SUM('AC-SVC'!E60)</f>
        <v>0</v>
      </c>
      <c r="BD60" s="68">
        <f ca="1">SUM('AC-SVC'!F60)</f>
        <v>0</v>
      </c>
      <c r="BE60" s="68">
        <f ca="1">SUM('AC-SVC'!G60)</f>
        <v>0</v>
      </c>
      <c r="BF60" s="68">
        <f ca="1">SUM('AC-SVC'!H60)</f>
        <v>0</v>
      </c>
      <c r="BG60" s="68">
        <f ca="1">SUM(PT!C60)</f>
        <v>0</v>
      </c>
      <c r="BH60" s="68">
        <f ca="1">SUM(CCLC!C60)</f>
        <v>0</v>
      </c>
      <c r="BI60" s="68">
        <f ca="1">SUM(FC!D60)</f>
        <v>0</v>
      </c>
      <c r="BJ60" s="68">
        <f ca="1">SUM(FN!G60)</f>
        <v>0</v>
      </c>
      <c r="BK60" s="68">
        <f ca="1">SUM(FS!D60)</f>
        <v>0</v>
      </c>
      <c r="BL60" s="68">
        <f ca="1">SUM(IT!D60)</f>
        <v>0</v>
      </c>
      <c r="BM60" s="92"/>
      <c r="BN60" s="69">
        <f t="shared" si="19"/>
        <v>0</v>
      </c>
    </row>
    <row r="61" spans="1:66">
      <c r="A61" s="33" t="s">
        <v>4</v>
      </c>
      <c r="B61" s="33" t="s">
        <v>5</v>
      </c>
      <c r="C61" s="25"/>
      <c r="D61" s="25">
        <f t="shared" si="16"/>
        <v>0</v>
      </c>
      <c r="E61" s="166">
        <f t="shared" si="17"/>
        <v>0</v>
      </c>
      <c r="F61" s="25">
        <f t="shared" si="18"/>
        <v>0</v>
      </c>
      <c r="G61" s="25"/>
      <c r="H61" s="25"/>
      <c r="I61" s="178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92"/>
      <c r="BA61" s="68">
        <f ca="1">SUM('AC-SVC'!C61)</f>
        <v>0</v>
      </c>
      <c r="BB61" s="68">
        <f ca="1">SUM('AC-SVC'!D61)</f>
        <v>125000</v>
      </c>
      <c r="BC61" s="68">
        <f ca="1">SUM('AC-SVC'!E61)</f>
        <v>0</v>
      </c>
      <c r="BD61" s="68">
        <f ca="1">SUM('AC-SVC'!F61)</f>
        <v>0</v>
      </c>
      <c r="BE61" s="68">
        <f ca="1">SUM('AC-SVC'!G61)</f>
        <v>0</v>
      </c>
      <c r="BF61" s="68">
        <f ca="1">SUM('AC-SVC'!H61)</f>
        <v>0</v>
      </c>
      <c r="BG61" s="68">
        <f ca="1">SUM(PT!C61)</f>
        <v>0</v>
      </c>
      <c r="BH61" s="68">
        <f ca="1">SUM(CCLC!C61)</f>
        <v>0</v>
      </c>
      <c r="BI61" s="68">
        <f ca="1">SUM(FC!D61)</f>
        <v>0</v>
      </c>
      <c r="BJ61" s="68">
        <f ca="1">SUM(FN!G61)</f>
        <v>0</v>
      </c>
      <c r="BK61" s="68">
        <f ca="1">SUM(FS!D61)</f>
        <v>0</v>
      </c>
      <c r="BL61" s="68">
        <f ca="1">SUM(IT!D61)</f>
        <v>0</v>
      </c>
      <c r="BM61" s="92"/>
      <c r="BN61" s="69">
        <f t="shared" si="19"/>
        <v>125000</v>
      </c>
    </row>
    <row r="62" spans="1:66">
      <c r="A62" s="33" t="s">
        <v>6</v>
      </c>
      <c r="B62" s="33" t="s">
        <v>7</v>
      </c>
      <c r="C62" s="25"/>
      <c r="D62" s="25">
        <f t="shared" si="16"/>
        <v>0</v>
      </c>
      <c r="E62" s="166">
        <f t="shared" si="17"/>
        <v>0</v>
      </c>
      <c r="F62" s="25">
        <f t="shared" si="18"/>
        <v>0</v>
      </c>
      <c r="G62" s="25"/>
      <c r="H62" s="25"/>
      <c r="I62" s="17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92"/>
      <c r="BA62" s="68">
        <f ca="1">SUM('AC-SVC'!C62)</f>
        <v>0</v>
      </c>
      <c r="BB62" s="68">
        <f ca="1">SUM('AC-SVC'!D62)</f>
        <v>0</v>
      </c>
      <c r="BC62" s="68">
        <f ca="1">SUM('AC-SVC'!E62)</f>
        <v>0</v>
      </c>
      <c r="BD62" s="68">
        <f ca="1">SUM('AC-SVC'!F62)</f>
        <v>0</v>
      </c>
      <c r="BE62" s="68">
        <f ca="1">SUM('AC-SVC'!G62)</f>
        <v>0</v>
      </c>
      <c r="BF62" s="68">
        <f ca="1">SUM('AC-SVC'!H62)</f>
        <v>0</v>
      </c>
      <c r="BG62" s="68">
        <f ca="1">SUM(PT!C62)</f>
        <v>0</v>
      </c>
      <c r="BH62" s="68">
        <f ca="1">SUM(CCLC!C62)</f>
        <v>0</v>
      </c>
      <c r="BI62" s="68">
        <f ca="1">SUM(FC!D62)</f>
        <v>0</v>
      </c>
      <c r="BJ62" s="68">
        <f ca="1">SUM(FN!G62)</f>
        <v>0</v>
      </c>
      <c r="BK62" s="68">
        <f ca="1">SUM(FS!D62)</f>
        <v>0</v>
      </c>
      <c r="BL62" s="68">
        <f ca="1">SUM(IT!D62)</f>
        <v>0</v>
      </c>
      <c r="BM62" s="92"/>
      <c r="BN62" s="69">
        <f t="shared" si="19"/>
        <v>0</v>
      </c>
    </row>
    <row r="63" spans="1:66">
      <c r="A63" s="33" t="s">
        <v>8</v>
      </c>
      <c r="B63" s="33" t="s">
        <v>9</v>
      </c>
      <c r="C63" s="25"/>
      <c r="D63" s="25">
        <f t="shared" si="16"/>
        <v>0</v>
      </c>
      <c r="E63" s="166">
        <f t="shared" si="17"/>
        <v>0</v>
      </c>
      <c r="F63" s="25">
        <f t="shared" si="18"/>
        <v>0</v>
      </c>
      <c r="G63" s="25"/>
      <c r="H63" s="25"/>
      <c r="I63" s="178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92"/>
      <c r="BA63" s="68">
        <f ca="1">SUM('AC-SVC'!C63)</f>
        <v>0</v>
      </c>
      <c r="BB63" s="68">
        <f ca="1">SUM('AC-SVC'!D63)</f>
        <v>0</v>
      </c>
      <c r="BC63" s="68">
        <f ca="1">SUM('AC-SVC'!E63)</f>
        <v>0</v>
      </c>
      <c r="BD63" s="68">
        <f ca="1">SUM('AC-SVC'!F63)</f>
        <v>0</v>
      </c>
      <c r="BE63" s="68">
        <f ca="1">SUM('AC-SVC'!G63)</f>
        <v>0</v>
      </c>
      <c r="BF63" s="68">
        <f ca="1">SUM('AC-SVC'!H63)</f>
        <v>0</v>
      </c>
      <c r="BG63" s="68">
        <f ca="1">SUM(PT!C63)</f>
        <v>0</v>
      </c>
      <c r="BH63" s="68">
        <f ca="1">SUM(CCLC!C63)</f>
        <v>0</v>
      </c>
      <c r="BI63" s="68">
        <f ca="1">SUM(FC!D63)</f>
        <v>0</v>
      </c>
      <c r="BJ63" s="68">
        <f ca="1">SUM(FN!G63)</f>
        <v>0</v>
      </c>
      <c r="BK63" s="68">
        <f ca="1">SUM(FS!D63)</f>
        <v>0</v>
      </c>
      <c r="BL63" s="68">
        <f ca="1">SUM(IT!D63)</f>
        <v>0</v>
      </c>
      <c r="BM63" s="92"/>
      <c r="BN63" s="69">
        <f t="shared" si="19"/>
        <v>0</v>
      </c>
    </row>
    <row r="64" spans="1:66">
      <c r="A64" s="33" t="s">
        <v>11</v>
      </c>
      <c r="B64" s="33" t="s">
        <v>310</v>
      </c>
      <c r="C64" s="25"/>
      <c r="D64" s="25">
        <f t="shared" si="16"/>
        <v>0</v>
      </c>
      <c r="E64" s="166">
        <f t="shared" si="17"/>
        <v>0</v>
      </c>
      <c r="F64" s="25">
        <f t="shared" si="18"/>
        <v>0</v>
      </c>
      <c r="G64" s="25"/>
      <c r="H64" s="25"/>
      <c r="I64" s="178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92"/>
      <c r="BA64" s="68">
        <f ca="1">SUM('AC-SVC'!C64)</f>
        <v>0</v>
      </c>
      <c r="BB64" s="68">
        <f ca="1">SUM('AC-SVC'!D64)</f>
        <v>0</v>
      </c>
      <c r="BC64" s="68">
        <f ca="1">SUM('AC-SVC'!E64)</f>
        <v>0</v>
      </c>
      <c r="BD64" s="68">
        <f ca="1">SUM('AC-SVC'!F64)</f>
        <v>0</v>
      </c>
      <c r="BE64" s="68">
        <f ca="1">SUM('AC-SVC'!G64)</f>
        <v>0</v>
      </c>
      <c r="BF64" s="68">
        <f ca="1">SUM('AC-SVC'!H64)</f>
        <v>0</v>
      </c>
      <c r="BG64" s="68">
        <f ca="1">SUM(PT!C64)</f>
        <v>0</v>
      </c>
      <c r="BH64" s="68">
        <f ca="1">SUM(CCLC!C64)</f>
        <v>0</v>
      </c>
      <c r="BI64" s="68">
        <f ca="1">SUM(FC!D64)</f>
        <v>0</v>
      </c>
      <c r="BJ64" s="68">
        <f ca="1">SUM(FN!G64)</f>
        <v>0</v>
      </c>
      <c r="BK64" s="68">
        <f ca="1">SUM(FS!D64)</f>
        <v>0</v>
      </c>
      <c r="BL64" s="68">
        <f ca="1">SUM(IT!D64)</f>
        <v>0</v>
      </c>
      <c r="BM64" s="92"/>
      <c r="BN64" s="69">
        <f t="shared" si="19"/>
        <v>0</v>
      </c>
    </row>
    <row r="65" spans="1:66">
      <c r="A65" s="33" t="s">
        <v>10</v>
      </c>
      <c r="B65" s="33" t="s">
        <v>309</v>
      </c>
      <c r="C65" s="180"/>
      <c r="D65" s="180">
        <f t="shared" si="16"/>
        <v>0</v>
      </c>
      <c r="E65" s="180">
        <f t="shared" si="17"/>
        <v>0</v>
      </c>
      <c r="F65" s="180">
        <f t="shared" si="18"/>
        <v>0</v>
      </c>
      <c r="G65" s="180"/>
      <c r="H65" s="180"/>
      <c r="I65" s="178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92"/>
      <c r="BA65" s="22">
        <f ca="1">SUM('AC-SVC'!C65)</f>
        <v>0</v>
      </c>
      <c r="BB65" s="22">
        <f ca="1">SUM('AC-SVC'!D65)</f>
        <v>0</v>
      </c>
      <c r="BC65" s="22">
        <f ca="1">SUM('AC-SVC'!E65)</f>
        <v>0</v>
      </c>
      <c r="BD65" s="22">
        <f ca="1">SUM('AC-SVC'!F65)</f>
        <v>0</v>
      </c>
      <c r="BE65" s="22">
        <f ca="1">SUM('AC-SVC'!G65)</f>
        <v>0</v>
      </c>
      <c r="BF65" s="22">
        <f ca="1">SUM('AC-SVC'!H65)</f>
        <v>0</v>
      </c>
      <c r="BG65" s="22">
        <f ca="1">SUM(PT!C65)</f>
        <v>0</v>
      </c>
      <c r="BH65" s="22">
        <f ca="1">SUM(CCLC!C65)</f>
        <v>0</v>
      </c>
      <c r="BI65" s="22">
        <f ca="1">SUM(FC!D65)</f>
        <v>0</v>
      </c>
      <c r="BJ65" s="22">
        <f ca="1">SUM(FN!G65)</f>
        <v>0</v>
      </c>
      <c r="BK65" s="22">
        <f ca="1">SUM(FS!D65)</f>
        <v>0</v>
      </c>
      <c r="BL65" s="22">
        <f ca="1">SUM(IT!D65)</f>
        <v>0</v>
      </c>
      <c r="BM65" s="92"/>
      <c r="BN65" s="70">
        <f t="shared" si="19"/>
        <v>0</v>
      </c>
    </row>
    <row r="66" spans="1:66">
      <c r="B66" s="33" t="s">
        <v>311</v>
      </c>
      <c r="C66" s="25">
        <f t="shared" ref="C66:H66" si="20">SUM(C53:C65)</f>
        <v>162000</v>
      </c>
      <c r="D66" s="25">
        <f t="shared" si="20"/>
        <v>0</v>
      </c>
      <c r="E66" s="25">
        <f t="shared" si="20"/>
        <v>0</v>
      </c>
      <c r="F66" s="25">
        <f t="shared" si="20"/>
        <v>0</v>
      </c>
      <c r="G66" s="25">
        <f t="shared" si="20"/>
        <v>0</v>
      </c>
      <c r="H66" s="25">
        <f t="shared" si="20"/>
        <v>0</v>
      </c>
      <c r="I66" s="178"/>
      <c r="J66" s="25">
        <f t="shared" ref="J66:AY66" si="21">SUM(J53:J65)</f>
        <v>0</v>
      </c>
      <c r="K66" s="25">
        <f t="shared" si="21"/>
        <v>0</v>
      </c>
      <c r="L66" s="25">
        <f t="shared" si="21"/>
        <v>0</v>
      </c>
      <c r="M66" s="25">
        <f t="shared" si="21"/>
        <v>0</v>
      </c>
      <c r="N66" s="25">
        <f t="shared" si="21"/>
        <v>0</v>
      </c>
      <c r="O66" s="25">
        <f t="shared" si="21"/>
        <v>0</v>
      </c>
      <c r="P66" s="25">
        <f t="shared" si="21"/>
        <v>0</v>
      </c>
      <c r="Q66" s="25">
        <f t="shared" si="21"/>
        <v>0</v>
      </c>
      <c r="R66" s="25">
        <f t="shared" si="21"/>
        <v>0</v>
      </c>
      <c r="S66" s="25">
        <f t="shared" si="21"/>
        <v>0</v>
      </c>
      <c r="T66" s="25">
        <f t="shared" si="21"/>
        <v>0</v>
      </c>
      <c r="U66" s="25">
        <f t="shared" si="21"/>
        <v>0</v>
      </c>
      <c r="V66" s="25">
        <f t="shared" si="21"/>
        <v>0</v>
      </c>
      <c r="W66" s="25">
        <f t="shared" si="21"/>
        <v>0</v>
      </c>
      <c r="X66" s="25">
        <f t="shared" si="21"/>
        <v>0</v>
      </c>
      <c r="Y66" s="25">
        <f t="shared" si="21"/>
        <v>0</v>
      </c>
      <c r="Z66" s="25">
        <f t="shared" si="21"/>
        <v>0</v>
      </c>
      <c r="AA66" s="25">
        <f t="shared" si="21"/>
        <v>0</v>
      </c>
      <c r="AB66" s="25">
        <f t="shared" si="21"/>
        <v>0</v>
      </c>
      <c r="AC66" s="25">
        <f t="shared" si="21"/>
        <v>0</v>
      </c>
      <c r="AD66" s="25">
        <f t="shared" si="21"/>
        <v>0</v>
      </c>
      <c r="AE66" s="25">
        <f t="shared" si="21"/>
        <v>0</v>
      </c>
      <c r="AF66" s="25">
        <f t="shared" si="21"/>
        <v>0</v>
      </c>
      <c r="AG66" s="25">
        <f t="shared" si="21"/>
        <v>0</v>
      </c>
      <c r="AH66" s="25">
        <f t="shared" si="21"/>
        <v>0</v>
      </c>
      <c r="AI66" s="25">
        <f t="shared" si="21"/>
        <v>0</v>
      </c>
      <c r="AJ66" s="25">
        <f t="shared" si="21"/>
        <v>0</v>
      </c>
      <c r="AK66" s="25">
        <f t="shared" si="21"/>
        <v>0</v>
      </c>
      <c r="AL66" s="25">
        <f t="shared" si="21"/>
        <v>0</v>
      </c>
      <c r="AM66" s="25">
        <f t="shared" si="21"/>
        <v>0</v>
      </c>
      <c r="AN66" s="25">
        <f t="shared" si="21"/>
        <v>0</v>
      </c>
      <c r="AO66" s="25">
        <f t="shared" si="21"/>
        <v>0</v>
      </c>
      <c r="AP66" s="25">
        <f t="shared" si="21"/>
        <v>0</v>
      </c>
      <c r="AQ66" s="25">
        <f t="shared" si="21"/>
        <v>0</v>
      </c>
      <c r="AR66" s="25">
        <f t="shared" si="21"/>
        <v>0</v>
      </c>
      <c r="AS66" s="25">
        <f t="shared" si="21"/>
        <v>0</v>
      </c>
      <c r="AT66" s="25">
        <f t="shared" si="21"/>
        <v>0</v>
      </c>
      <c r="AU66" s="25">
        <f t="shared" si="21"/>
        <v>0</v>
      </c>
      <c r="AV66" s="25">
        <f t="shared" si="21"/>
        <v>0</v>
      </c>
      <c r="AW66" s="25">
        <f t="shared" si="21"/>
        <v>0</v>
      </c>
      <c r="AX66" s="25">
        <f t="shared" si="21"/>
        <v>0</v>
      </c>
      <c r="AY66" s="25">
        <f t="shared" si="21"/>
        <v>0</v>
      </c>
      <c r="AZ66" s="92"/>
      <c r="BA66" s="23">
        <f t="shared" ref="BA66:BF66" si="22">+SUM(BA53:BA65)</f>
        <v>0</v>
      </c>
      <c r="BB66" s="25">
        <f t="shared" si="22"/>
        <v>125000</v>
      </c>
      <c r="BC66" s="23">
        <f t="shared" si="22"/>
        <v>0</v>
      </c>
      <c r="BD66" s="23">
        <f t="shared" si="22"/>
        <v>0</v>
      </c>
      <c r="BE66" s="23">
        <f t="shared" si="22"/>
        <v>0</v>
      </c>
      <c r="BF66" s="23">
        <f t="shared" si="22"/>
        <v>0</v>
      </c>
      <c r="BG66" s="23">
        <f t="shared" ref="BG66:BL66" si="23">+SUM(BG53:BG65)</f>
        <v>0</v>
      </c>
      <c r="BH66" s="23">
        <f t="shared" si="23"/>
        <v>188152</v>
      </c>
      <c r="BI66" s="23">
        <f t="shared" si="23"/>
        <v>0</v>
      </c>
      <c r="BJ66" s="23">
        <f t="shared" si="23"/>
        <v>0</v>
      </c>
      <c r="BK66" s="23">
        <f t="shared" si="23"/>
        <v>206248</v>
      </c>
      <c r="BL66" s="23">
        <f t="shared" si="23"/>
        <v>21798.392</v>
      </c>
      <c r="BM66" s="92"/>
      <c r="BN66" s="56">
        <f>SUM(BN53:BN65)</f>
        <v>703198.39199999999</v>
      </c>
    </row>
    <row r="67" spans="1:66">
      <c r="C67" s="25"/>
      <c r="D67" s="25"/>
      <c r="E67" s="25"/>
      <c r="F67" s="25"/>
      <c r="G67" s="25"/>
      <c r="H67" s="25"/>
      <c r="I67" s="178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92"/>
      <c r="BA67" s="23"/>
      <c r="BB67" s="25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92"/>
    </row>
    <row r="68" spans="1:66" s="32" customFormat="1" ht="10.5">
      <c r="A68" s="37"/>
      <c r="B68" s="37" t="s">
        <v>312</v>
      </c>
      <c r="C68" s="56">
        <f t="shared" ref="C68:AY68" si="24">SUM(C38+C49+C66)</f>
        <v>6077265</v>
      </c>
      <c r="D68" s="56">
        <f t="shared" si="24"/>
        <v>0</v>
      </c>
      <c r="E68" s="56">
        <f t="shared" si="24"/>
        <v>0</v>
      </c>
      <c r="F68" s="56">
        <f t="shared" si="24"/>
        <v>0</v>
      </c>
      <c r="G68" s="56">
        <f t="shared" si="24"/>
        <v>0</v>
      </c>
      <c r="H68" s="56">
        <f t="shared" si="24"/>
        <v>0</v>
      </c>
      <c r="I68" s="181"/>
      <c r="J68" s="56">
        <f t="shared" si="24"/>
        <v>0</v>
      </c>
      <c r="K68" s="56">
        <f t="shared" si="24"/>
        <v>0</v>
      </c>
      <c r="L68" s="56">
        <f t="shared" si="24"/>
        <v>0</v>
      </c>
      <c r="M68" s="56">
        <f t="shared" si="24"/>
        <v>0</v>
      </c>
      <c r="N68" s="56">
        <f t="shared" si="24"/>
        <v>0</v>
      </c>
      <c r="O68" s="56">
        <f t="shared" si="24"/>
        <v>0</v>
      </c>
      <c r="P68" s="56">
        <f t="shared" si="24"/>
        <v>0</v>
      </c>
      <c r="Q68" s="56">
        <f t="shared" si="24"/>
        <v>0</v>
      </c>
      <c r="R68" s="56">
        <f t="shared" si="24"/>
        <v>0</v>
      </c>
      <c r="S68" s="56">
        <f t="shared" si="24"/>
        <v>0</v>
      </c>
      <c r="T68" s="56">
        <f t="shared" si="24"/>
        <v>0</v>
      </c>
      <c r="U68" s="56">
        <f t="shared" si="24"/>
        <v>0</v>
      </c>
      <c r="V68" s="56">
        <f t="shared" si="24"/>
        <v>0</v>
      </c>
      <c r="W68" s="56">
        <f t="shared" si="24"/>
        <v>0</v>
      </c>
      <c r="X68" s="56">
        <f t="shared" si="24"/>
        <v>0</v>
      </c>
      <c r="Y68" s="56">
        <f t="shared" si="24"/>
        <v>0</v>
      </c>
      <c r="Z68" s="56">
        <f t="shared" si="24"/>
        <v>0</v>
      </c>
      <c r="AA68" s="56">
        <f t="shared" si="24"/>
        <v>0</v>
      </c>
      <c r="AB68" s="56">
        <f t="shared" si="24"/>
        <v>0</v>
      </c>
      <c r="AC68" s="56">
        <f t="shared" si="24"/>
        <v>0</v>
      </c>
      <c r="AD68" s="56">
        <f t="shared" si="24"/>
        <v>0</v>
      </c>
      <c r="AE68" s="56">
        <f t="shared" si="24"/>
        <v>0</v>
      </c>
      <c r="AF68" s="56">
        <f t="shared" si="24"/>
        <v>0</v>
      </c>
      <c r="AG68" s="56">
        <f t="shared" si="24"/>
        <v>0</v>
      </c>
      <c r="AH68" s="56">
        <f t="shared" si="24"/>
        <v>0</v>
      </c>
      <c r="AI68" s="56">
        <f t="shared" si="24"/>
        <v>0</v>
      </c>
      <c r="AJ68" s="56">
        <f t="shared" si="24"/>
        <v>0</v>
      </c>
      <c r="AK68" s="56">
        <f t="shared" si="24"/>
        <v>0</v>
      </c>
      <c r="AL68" s="56">
        <f t="shared" si="24"/>
        <v>0</v>
      </c>
      <c r="AM68" s="56">
        <f t="shared" si="24"/>
        <v>0</v>
      </c>
      <c r="AN68" s="56">
        <f t="shared" si="24"/>
        <v>0</v>
      </c>
      <c r="AO68" s="56">
        <f t="shared" si="24"/>
        <v>0</v>
      </c>
      <c r="AP68" s="56">
        <f t="shared" si="24"/>
        <v>0</v>
      </c>
      <c r="AQ68" s="56">
        <f t="shared" si="24"/>
        <v>0</v>
      </c>
      <c r="AR68" s="56">
        <f t="shared" si="24"/>
        <v>0</v>
      </c>
      <c r="AS68" s="56">
        <f t="shared" si="24"/>
        <v>0</v>
      </c>
      <c r="AT68" s="56">
        <f t="shared" si="24"/>
        <v>0</v>
      </c>
      <c r="AU68" s="56">
        <f t="shared" si="24"/>
        <v>0</v>
      </c>
      <c r="AV68" s="56">
        <f t="shared" si="24"/>
        <v>0</v>
      </c>
      <c r="AW68" s="56">
        <f t="shared" si="24"/>
        <v>0</v>
      </c>
      <c r="AX68" s="56">
        <f t="shared" si="24"/>
        <v>0</v>
      </c>
      <c r="AY68" s="56">
        <f t="shared" si="24"/>
        <v>0</v>
      </c>
      <c r="AZ68" s="182"/>
      <c r="BA68" s="42">
        <f t="shared" ref="BA68:BF68" si="25">+BA66+BA49+BA38</f>
        <v>0</v>
      </c>
      <c r="BB68" s="56">
        <f t="shared" si="25"/>
        <v>125000</v>
      </c>
      <c r="BC68" s="42">
        <f t="shared" si="25"/>
        <v>0</v>
      </c>
      <c r="BD68" s="42">
        <f t="shared" si="25"/>
        <v>0</v>
      </c>
      <c r="BE68" s="42">
        <f t="shared" si="25"/>
        <v>800</v>
      </c>
      <c r="BF68" s="42">
        <f t="shared" si="25"/>
        <v>0</v>
      </c>
      <c r="BG68" s="42">
        <f>+BG38+BG49+BG66</f>
        <v>74700</v>
      </c>
      <c r="BH68" s="42">
        <f>+BH38+BH49+BH66</f>
        <v>261970.18181818182</v>
      </c>
      <c r="BI68" s="42">
        <f>+BI38+BI49+BI66</f>
        <v>0</v>
      </c>
      <c r="BJ68" s="42">
        <f>+BJ66+BJ49+BJ38</f>
        <v>0</v>
      </c>
      <c r="BK68" s="42">
        <f>+BK66+BK49+BK38</f>
        <v>307848</v>
      </c>
      <c r="BL68" s="42">
        <f>+BL66+BL49+BL38</f>
        <v>21798.392</v>
      </c>
      <c r="BM68" s="182"/>
      <c r="BN68" s="42">
        <f>+BN66+BN49+BN38</f>
        <v>6869381.5738181816</v>
      </c>
    </row>
    <row r="69" spans="1:66">
      <c r="C69" s="25"/>
      <c r="D69" s="25"/>
      <c r="E69" s="25"/>
      <c r="F69" s="25"/>
      <c r="G69" s="25"/>
      <c r="H69" s="25"/>
      <c r="I69" s="178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92"/>
      <c r="BA69" s="23"/>
      <c r="BB69" s="25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92"/>
    </row>
    <row r="70" spans="1:66">
      <c r="A70" s="33" t="s">
        <v>313</v>
      </c>
      <c r="C70" s="25"/>
      <c r="D70" s="25"/>
      <c r="E70" s="25"/>
      <c r="F70" s="25"/>
      <c r="G70" s="25"/>
      <c r="H70" s="25"/>
      <c r="I70" s="178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92"/>
      <c r="BA70" s="23"/>
      <c r="BB70" s="25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92"/>
    </row>
    <row r="71" spans="1:66">
      <c r="A71" s="33" t="s">
        <v>314</v>
      </c>
      <c r="C71" s="25"/>
      <c r="D71" s="25"/>
      <c r="E71" s="25"/>
      <c r="F71" s="25"/>
      <c r="G71" s="25"/>
      <c r="H71" s="25"/>
      <c r="I71" s="178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92"/>
      <c r="BA71" s="23"/>
      <c r="BB71" s="25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92"/>
    </row>
    <row r="72" spans="1:66">
      <c r="A72" s="33" t="s">
        <v>19</v>
      </c>
      <c r="B72" s="33" t="s">
        <v>323</v>
      </c>
      <c r="C72" s="25"/>
      <c r="D72" s="25">
        <f t="shared" ref="D72:D79" si="26">SUM(J72:M72)</f>
        <v>0</v>
      </c>
      <c r="E72" s="166">
        <f t="shared" ref="E72:E79" si="27">SUM(N72:AQ72)</f>
        <v>0</v>
      </c>
      <c r="F72" s="25">
        <f t="shared" ref="F72:F79" si="28">SUM(AR72:AY72)</f>
        <v>0</v>
      </c>
      <c r="G72" s="25">
        <f ca="1">SUM('12-2013 Ret Emp'!I62)-20000</f>
        <v>80247.438797516108</v>
      </c>
      <c r="H72" s="25">
        <f ca="1">SUM('12-2013 Ret Emp'!I63+'12-2013 Ret Emp'!I64)</f>
        <v>117499.80391279042</v>
      </c>
      <c r="I72" s="178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92"/>
      <c r="BA72" s="68">
        <f ca="1">SUM('AC-SVC'!C72)*BA7</f>
        <v>21585.131449006632</v>
      </c>
      <c r="BB72" s="68">
        <f ca="1">SUM('AC-SVC'!D72)</f>
        <v>0</v>
      </c>
      <c r="BC72" s="68">
        <f ca="1">SUM('AC-SVC'!E72)</f>
        <v>0</v>
      </c>
      <c r="BD72" s="68">
        <f ca="1">SUM('AC-SVC'!F72)</f>
        <v>0</v>
      </c>
      <c r="BE72" s="68">
        <f ca="1">SUM('AC-SVC'!G72)</f>
        <v>0</v>
      </c>
      <c r="BF72" s="68">
        <f ca="1">SUM('AC-SVC'!H72)*BF7</f>
        <v>22000</v>
      </c>
      <c r="BG72" s="68">
        <f ca="1">SUM(PT!C72)</f>
        <v>0</v>
      </c>
      <c r="BH72" s="68">
        <f ca="1">SUM(CCLC!C72)</f>
        <v>0</v>
      </c>
      <c r="BI72" s="68">
        <f ca="1">SUM(FC!D72)</f>
        <v>0</v>
      </c>
      <c r="BJ72" s="68">
        <f ca="1">SUM(FN!G72)</f>
        <v>0</v>
      </c>
      <c r="BK72" s="68">
        <f ca="1">SUM(FS!D72)</f>
        <v>0</v>
      </c>
      <c r="BL72" s="68">
        <f ca="1">SUM(IT!D72)</f>
        <v>0</v>
      </c>
      <c r="BM72" s="92"/>
      <c r="BN72" s="69">
        <f t="shared" ref="BN72:BN79" si="29">SUM(C72:H72)+SUM(BA72:BL72)</f>
        <v>241332.37415931316</v>
      </c>
    </row>
    <row r="73" spans="1:66">
      <c r="A73" s="33" t="s">
        <v>12</v>
      </c>
      <c r="B73" s="33" t="s">
        <v>315</v>
      </c>
      <c r="C73" s="25"/>
      <c r="D73" s="25">
        <f t="shared" si="26"/>
        <v>190123.97708699992</v>
      </c>
      <c r="E73" s="166">
        <f t="shared" si="27"/>
        <v>1505579.2641111033</v>
      </c>
      <c r="F73" s="25">
        <f t="shared" si="28"/>
        <v>390022.837006099</v>
      </c>
      <c r="G73" s="25"/>
      <c r="H73" s="25"/>
      <c r="I73" s="178"/>
      <c r="J73" s="25">
        <f ca="1">SUM('12-2013 Ret Emp'!I11)</f>
        <v>56632.029171525392</v>
      </c>
      <c r="K73" s="25">
        <f ca="1">SUM('12-2013 Ret Emp'!I10)</f>
        <v>45546.143580393531</v>
      </c>
      <c r="L73" s="25">
        <f ca="1">SUM('12-2013 Ret Emp'!I9)</f>
        <v>43399.660754687487</v>
      </c>
      <c r="M73" s="25">
        <f ca="1">+'AC-SCH'!D45</f>
        <v>44546.143580393531</v>
      </c>
      <c r="N73" s="25">
        <f ca="1">SUM('12-2013 Ret Emp'!I43)</f>
        <v>43399.660754687487</v>
      </c>
      <c r="O73" s="25">
        <f ca="1">SUM('12-2013 Ret Emp'!I44)</f>
        <v>51659.869516948769</v>
      </c>
      <c r="P73" s="25">
        <f ca="1">SUM('12-2013 Ret Emp'!I31)</f>
        <v>43459.652273554668</v>
      </c>
      <c r="Q73" s="25">
        <f ca="1">SUM('12-2013 Ret Emp'!I32)</f>
        <v>43399.660754687487</v>
      </c>
      <c r="R73" s="25">
        <f ca="1">SUM('12-2013 Ret Emp'!I46)</f>
        <v>41365.522687499993</v>
      </c>
      <c r="S73" s="25">
        <f ca="1">SUM('12-2013 Ret Emp'!I45)</f>
        <v>44546.143580393531</v>
      </c>
      <c r="T73" s="25">
        <f ca="1">SUM('12-2013 Ret Emp'!I34)</f>
        <v>44546.143580393531</v>
      </c>
      <c r="U73" s="25">
        <f ca="1">SUM('12-2013 Ret Emp'!I33)</f>
        <v>39372.300000000003</v>
      </c>
      <c r="V73" s="25">
        <f ca="1">SUM('12-2013 Ret Emp'!I27)</f>
        <v>46801.292099150945</v>
      </c>
      <c r="W73" s="25">
        <f ca="1">SUM('12-2013 Ret Emp'!I47)</f>
        <v>42399.660754687487</v>
      </c>
      <c r="X73" s="25">
        <f ca="1">SUM('AC-SCH'!D41)</f>
        <v>40356.607499999998</v>
      </c>
      <c r="Y73" s="25">
        <f ca="1">SUM('12-2013 Ret Emp'!I35)</f>
        <v>39372.300000000003</v>
      </c>
      <c r="Z73" s="25">
        <f ca="1">SUM('12-2013 Ret Emp'!I36)</f>
        <v>43459.652273554668</v>
      </c>
      <c r="AA73" s="25">
        <f ca="1">SUM('12-2013 Ret Emp'!I28)</f>
        <v>44546.143580393531</v>
      </c>
      <c r="AB73" s="25">
        <f ca="1">SUM('12-2013 Ret Emp'!I49)</f>
        <v>42399.660754687487</v>
      </c>
      <c r="AC73" s="25">
        <f ca="1">SUM('12-2013 Ret Emp'!I48)</f>
        <v>44546.143580393531</v>
      </c>
      <c r="AD73" s="25">
        <f ca="1">SUM('12-2013 Ret Emp'!I37)</f>
        <v>43399.660754687487</v>
      </c>
      <c r="AE73" s="25">
        <f ca="1">SUM('12-2013 Ret Emp'!I39)</f>
        <v>44546.143580393531</v>
      </c>
      <c r="AF73" s="25">
        <f ca="1">SUM('12-2013 Ret Emp'!I29)</f>
        <v>48301.292099150945</v>
      </c>
      <c r="AG73" s="25">
        <f ca="1">SUM('12-2013 Ret Emp'!I51)</f>
        <v>48971.324401629718</v>
      </c>
      <c r="AH73" s="25">
        <f ca="1">SUM('12-2013 Ret Emp'!I50)</f>
        <v>44546.143580393531</v>
      </c>
      <c r="AI73" s="25">
        <f ca="1">SUM('12-2013 Ret Emp'!I38)</f>
        <v>44546.143580393531</v>
      </c>
      <c r="AJ73" s="25">
        <f ca="1">+'AC-SCH'!D69</f>
        <v>43832</v>
      </c>
      <c r="AK73" s="25">
        <f ca="1">SUM('12-2013 Ret Emp'!I30)</f>
        <v>41365.522687499993</v>
      </c>
      <c r="AL73" s="25">
        <f ca="1">SUM('12-2013 Ret Emp'!I24+'12-2013 Ret Emp'!I25+'AC-SCH'!D163*0.5)</f>
        <v>102288.24626789353</v>
      </c>
      <c r="AM73" s="25">
        <f ca="1">SUM('12-2013 Ret Emp'!I42+'12-2013 Ret Emp'!I41+'AC-SCH'!D42)</f>
        <v>126008.94393507706</v>
      </c>
      <c r="AN73" s="25">
        <f ca="1">+'12-2013 Ret Emp'!I40+'AC-SCH'!D40</f>
        <v>75525.660216703109</v>
      </c>
      <c r="AO73" s="25">
        <f ca="1">SUM('12-2013 Ret Emp'!I26)</f>
        <v>42399.660754687487</v>
      </c>
      <c r="AP73" s="25">
        <f ca="1">SUM('AC-SCH'!D179)*2+SUM('12-2013 Ret Emp'!I23)</f>
        <v>87012.464199060618</v>
      </c>
      <c r="AQ73" s="25">
        <f ca="1">SUM('AC-SCH'!D165)*AQ7</f>
        <v>17205.644362499996</v>
      </c>
      <c r="AR73" s="25">
        <f ca="1">+'12-2013 Ret Emp'!I54*0.5+'12-2013 Ret Emp'!I53</f>
        <v>62085.810754687489</v>
      </c>
      <c r="AS73" s="25">
        <f ca="1">+'AC-SCH'!D43</f>
        <v>42399.660754687487</v>
      </c>
      <c r="AT73" s="25">
        <f ca="1">SUM('12-2013 Ret Emp'!I55)</f>
        <v>43459.652273554668</v>
      </c>
      <c r="AU73" s="25">
        <f ca="1">SUM('12-2013 Ret Emp'!I57)</f>
        <v>42399.660754687487</v>
      </c>
      <c r="AV73" s="25">
        <f ca="1">+'AC-SCH'!D67</f>
        <v>42926</v>
      </c>
      <c r="AW73" s="25">
        <f ca="1">+'AC-SCH'!D44*1.5</f>
        <v>65189.478410331998</v>
      </c>
      <c r="AX73" s="25">
        <f ca="1">SUM('12-2013 Ret Emp'!I56)</f>
        <v>30990.443680806125</v>
      </c>
      <c r="AY73" s="25">
        <f ca="1">+'AC-SCH'!D43*0.5+'12-2013 Ret Emp'!I52</f>
        <v>60572.130377343747</v>
      </c>
      <c r="AZ73" s="92"/>
      <c r="BA73" s="68">
        <f ca="1">SUM('AC-SVC'!C73)*BA7</f>
        <v>4000</v>
      </c>
      <c r="BB73" s="68">
        <f ca="1">SUM('AC-SVC'!D73)</f>
        <v>0</v>
      </c>
      <c r="BC73" s="68">
        <f ca="1">SUM('AC-SVC'!E73)</f>
        <v>0</v>
      </c>
      <c r="BD73" s="68">
        <f ca="1">SUM('AC-SVC'!F73)</f>
        <v>0</v>
      </c>
      <c r="BE73" s="68">
        <f ca="1">SUM('AC-SVC'!G73)*BE7*0.5</f>
        <v>56774.856600000006</v>
      </c>
      <c r="BF73" s="68">
        <f ca="1">SUM('AC-SVC'!H73)</f>
        <v>0</v>
      </c>
      <c r="BG73" s="68">
        <f ca="1">SUM(PT!C73)</f>
        <v>28533.06</v>
      </c>
      <c r="BH73" s="68">
        <f ca="1">SUM(CCLC!C73)</f>
        <v>39030.303030303032</v>
      </c>
      <c r="BI73" s="68">
        <f ca="1">SUM(FC!D73)</f>
        <v>0</v>
      </c>
      <c r="BJ73" s="68">
        <f ca="1">SUM(FN!G73)</f>
        <v>0</v>
      </c>
      <c r="BK73" s="68">
        <f ca="1">SUM(FS!D73)</f>
        <v>0</v>
      </c>
      <c r="BL73" s="68">
        <f ca="1">SUM(IT!D73)</f>
        <v>0</v>
      </c>
      <c r="BM73" s="92"/>
      <c r="BN73" s="69">
        <f t="shared" si="29"/>
        <v>2214064.2978345053</v>
      </c>
    </row>
    <row r="74" spans="1:66">
      <c r="A74" s="33" t="s">
        <v>13</v>
      </c>
      <c r="B74" s="33" t="s">
        <v>316</v>
      </c>
      <c r="C74" s="25"/>
      <c r="D74" s="25">
        <f t="shared" si="26"/>
        <v>106252.08890417837</v>
      </c>
      <c r="E74" s="166">
        <f t="shared" si="27"/>
        <v>361947.43756319885</v>
      </c>
      <c r="F74" s="25">
        <f t="shared" si="28"/>
        <v>0</v>
      </c>
      <c r="G74" s="25"/>
      <c r="H74" s="25"/>
      <c r="I74" s="178"/>
      <c r="J74" s="25">
        <f ca="1">SUM('12-2013 Ret Emp'!I7)</f>
        <v>30087.809398840898</v>
      </c>
      <c r="K74" s="25">
        <f ca="1">SUM('12-2013 Ret Emp'!I8)</f>
        <v>28429.65005914147</v>
      </c>
      <c r="L74" s="25">
        <f ca="1">SUM('12-2013 Ret Emp'!I6)</f>
        <v>23867.314723097999</v>
      </c>
      <c r="M74" s="25">
        <f ca="1">SUM('12-2013 Ret Emp'!I6)</f>
        <v>23867.314723097999</v>
      </c>
      <c r="N74" s="25">
        <f ca="1">SUM('12-2013 Ret Emp'!I16)</f>
        <v>25320.834189734669</v>
      </c>
      <c r="O74" s="25">
        <f ca="1">SUM('12-2013 Ret Emp'!I15)</f>
        <v>26862.872991889511</v>
      </c>
      <c r="P74" s="25">
        <f ca="1">SUM('12-2013 Ret Emp'!I12)</f>
        <v>23172.150216599999</v>
      </c>
      <c r="Q74" s="25">
        <f ca="1">SUM('12-2013 Ret Emp'!I12)</f>
        <v>23172.150216599999</v>
      </c>
      <c r="R74" s="25">
        <f ca="1">SUM('12-2013 Ret Emp'!I18)</f>
        <v>22497.233219999998</v>
      </c>
      <c r="S74" s="25">
        <f ca="1">SUM('12-2013 Ret Emp'!I17)</f>
        <v>28429.65005914147</v>
      </c>
      <c r="T74" s="25">
        <f ca="1">+'AC-SCH'!D82</f>
        <v>22497.233219999998</v>
      </c>
      <c r="U74" s="25">
        <f ca="1">+'AC-SCH'!D84</f>
        <v>23867.314723097999</v>
      </c>
      <c r="V74" s="25"/>
      <c r="W74" s="25">
        <f ca="1">+'AC-SCH'!D82</f>
        <v>22497.233219999998</v>
      </c>
      <c r="X74" s="25">
        <f ca="1">SUM('12-2013 Ret Emp'!I19)</f>
        <v>24583.33416479094</v>
      </c>
      <c r="Y74" s="25">
        <f ca="1">SUM('12-2013 Ret Emp'!I14)</f>
        <v>23867.314723097999</v>
      </c>
      <c r="Z74" s="25">
        <f ca="1">+'AC-SCH'!D83</f>
        <v>23172.150216599999</v>
      </c>
      <c r="AA74" s="25"/>
      <c r="AB74" s="25">
        <f ca="1">SUM('12-2013 Ret Emp'!I20)/2</f>
        <v>13834.379590823099</v>
      </c>
      <c r="AC74" s="25">
        <f ca="1">SUM('12-2013 Ret Emp'!I20)/2</f>
        <v>13834.379590823099</v>
      </c>
      <c r="AD74" s="25">
        <f ca="1">+'AC-SCH'!D82/2</f>
        <v>11248.616609999999</v>
      </c>
      <c r="AE74" s="25">
        <f ca="1">+'AC-SCH'!D82/2</f>
        <v>11248.616609999999</v>
      </c>
      <c r="AF74" s="25"/>
      <c r="AG74" s="25">
        <f ca="1">SUM('12-2013 Ret Emp'!I21)/2</f>
        <v>10920.986999999999</v>
      </c>
      <c r="AH74" s="25">
        <f ca="1">SUM('12-2013 Ret Emp'!I21)/2</f>
        <v>10920.986999999999</v>
      </c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92"/>
      <c r="BA74" s="68">
        <f ca="1">SUM('AC-SVC'!C74)</f>
        <v>0</v>
      </c>
      <c r="BB74" s="68">
        <f ca="1">SUM('AC-SVC'!D74)</f>
        <v>0</v>
      </c>
      <c r="BC74" s="68">
        <f ca="1">SUM('AC-SVC'!E74)</f>
        <v>0</v>
      </c>
      <c r="BD74" s="68">
        <f ca="1">SUM('AC-SVC'!F74)</f>
        <v>0</v>
      </c>
      <c r="BE74" s="68">
        <f ca="1">SUM('AC-SVC'!G74)</f>
        <v>0</v>
      </c>
      <c r="BF74" s="68">
        <f ca="1">SUM('AC-SVC'!H74)</f>
        <v>0</v>
      </c>
      <c r="BG74" s="68">
        <f ca="1">SUM(PT!C74)</f>
        <v>0</v>
      </c>
      <c r="BH74" s="68">
        <f ca="1">SUM(CCLC!C74)</f>
        <v>0</v>
      </c>
      <c r="BI74" s="68">
        <f ca="1">SUM(FC!D74)</f>
        <v>0</v>
      </c>
      <c r="BJ74" s="68">
        <f ca="1">SUM(FN!G74)</f>
        <v>0</v>
      </c>
      <c r="BK74" s="68">
        <f ca="1">SUM(FS!D74)</f>
        <v>0</v>
      </c>
      <c r="BL74" s="68">
        <f ca="1">SUM(IT!D74)</f>
        <v>0</v>
      </c>
      <c r="BM74" s="92"/>
      <c r="BN74" s="69">
        <f t="shared" si="29"/>
        <v>468199.5264673772</v>
      </c>
    </row>
    <row r="75" spans="1:66">
      <c r="A75" s="33" t="s">
        <v>14</v>
      </c>
      <c r="B75" s="33" t="s">
        <v>317</v>
      </c>
      <c r="C75" s="25"/>
      <c r="D75" s="25">
        <f t="shared" si="26"/>
        <v>0</v>
      </c>
      <c r="E75" s="166">
        <f t="shared" si="27"/>
        <v>0</v>
      </c>
      <c r="F75" s="25">
        <f t="shared" si="28"/>
        <v>0</v>
      </c>
      <c r="G75" s="25"/>
      <c r="H75" s="25"/>
      <c r="I75" s="17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92"/>
      <c r="BA75" s="68">
        <f ca="1">SUM('AC-SVC'!C75)</f>
        <v>0</v>
      </c>
      <c r="BB75" s="68">
        <f ca="1">SUM('AC-SVC'!D75)*0.5*BB7</f>
        <v>52773.092898802024</v>
      </c>
      <c r="BC75" s="68">
        <f ca="1">SUM('AC-SVC'!E75)*0.5*BC7</f>
        <v>45339.288500000002</v>
      </c>
      <c r="BD75" s="68">
        <f ca="1">SUM('AC-SVC'!F75)</f>
        <v>0</v>
      </c>
      <c r="BE75" s="68">
        <f ca="1">SUM('AC-SVC'!G75)</f>
        <v>0</v>
      </c>
      <c r="BF75" s="68">
        <f ca="1">SUM('AC-SVC'!H75)</f>
        <v>0</v>
      </c>
      <c r="BG75" s="68">
        <f ca="1">SUM(PT!C75)</f>
        <v>0</v>
      </c>
      <c r="BH75" s="68">
        <f ca="1">SUM(CCLC!C75)</f>
        <v>0</v>
      </c>
      <c r="BI75" s="68">
        <f ca="1">SUM(FC!D75)</f>
        <v>0</v>
      </c>
      <c r="BJ75" s="68">
        <f ca="1">SUM(FN!G75)</f>
        <v>0</v>
      </c>
      <c r="BK75" s="68">
        <f ca="1">SUM(FS!D75)</f>
        <v>0</v>
      </c>
      <c r="BL75" s="68">
        <f ca="1">SUM(IT!D75)</f>
        <v>0</v>
      </c>
      <c r="BM75" s="92"/>
      <c r="BN75" s="69">
        <f t="shared" si="29"/>
        <v>98112.381398802027</v>
      </c>
    </row>
    <row r="76" spans="1:66">
      <c r="A76" s="33" t="s">
        <v>15</v>
      </c>
      <c r="B76" s="33" t="s">
        <v>318</v>
      </c>
      <c r="C76" s="25"/>
      <c r="D76" s="25">
        <f t="shared" si="26"/>
        <v>0</v>
      </c>
      <c r="E76" s="166">
        <f t="shared" si="27"/>
        <v>0</v>
      </c>
      <c r="F76" s="25">
        <f t="shared" si="28"/>
        <v>0</v>
      </c>
      <c r="G76" s="25"/>
      <c r="H76" s="25"/>
      <c r="I76" s="178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92"/>
      <c r="BA76" s="68">
        <f ca="1">SUM('AC-SVC'!C76)</f>
        <v>0</v>
      </c>
      <c r="BB76" s="68">
        <f ca="1">SUM('AC-SVC'!D76)</f>
        <v>0</v>
      </c>
      <c r="BC76" s="68">
        <f ca="1">SUM('AC-SVC'!E76)</f>
        <v>0</v>
      </c>
      <c r="BD76" s="68">
        <f ca="1">SUM('AC-SVC'!F76)*0.5*BD7</f>
        <v>52763.434617297658</v>
      </c>
      <c r="BE76" s="68">
        <f ca="1">SUM('AC-SVC'!G76)</f>
        <v>0</v>
      </c>
      <c r="BF76" s="68">
        <f ca="1">SUM('AC-SVC'!H76)</f>
        <v>0</v>
      </c>
      <c r="BG76" s="68">
        <f ca="1">SUM(PT!C76)</f>
        <v>0</v>
      </c>
      <c r="BH76" s="68">
        <f ca="1">SUM(CCLC!C76)</f>
        <v>0</v>
      </c>
      <c r="BI76" s="68">
        <f ca="1">SUM(FC!D76)</f>
        <v>0</v>
      </c>
      <c r="BJ76" s="68">
        <f ca="1">SUM(FN!G76)</f>
        <v>0</v>
      </c>
      <c r="BK76" s="68">
        <f ca="1">SUM(FS!D76)</f>
        <v>0</v>
      </c>
      <c r="BL76" s="68">
        <f ca="1">SUM(IT!D76)</f>
        <v>17444.756270066398</v>
      </c>
      <c r="BM76" s="92"/>
      <c r="BN76" s="69">
        <f t="shared" si="29"/>
        <v>70208.190887364064</v>
      </c>
    </row>
    <row r="77" spans="1:66">
      <c r="A77" s="33" t="s">
        <v>16</v>
      </c>
      <c r="B77" s="33" t="s">
        <v>319</v>
      </c>
      <c r="C77" s="25"/>
      <c r="D77" s="25">
        <f t="shared" si="26"/>
        <v>0</v>
      </c>
      <c r="E77" s="166">
        <f t="shared" si="27"/>
        <v>0</v>
      </c>
      <c r="F77" s="25">
        <f t="shared" si="28"/>
        <v>0</v>
      </c>
      <c r="G77" s="25">
        <f ca="1">+'12-2013 Ret Emp'!I61*2080+0.5*'12-2013 Ret Emp'!I54+'12-2013 Ret Emp'!I60*2080</f>
        <v>74810.102000000014</v>
      </c>
      <c r="H77" s="25"/>
      <c r="I77" s="178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92"/>
      <c r="BA77" s="68">
        <f ca="1">SUM('AC-SVC'!C77)</f>
        <v>0</v>
      </c>
      <c r="BB77" s="68">
        <f ca="1">SUM('AC-SVC'!D77)</f>
        <v>0</v>
      </c>
      <c r="BC77" s="68">
        <f ca="1">SUM('AC-SVC'!E77)</f>
        <v>0</v>
      </c>
      <c r="BD77" s="68">
        <f ca="1">SUM('AC-SVC'!F77)</f>
        <v>0</v>
      </c>
      <c r="BE77" s="68">
        <f ca="1">SUM('AC-SVC'!G77)</f>
        <v>0</v>
      </c>
      <c r="BF77" s="68">
        <f ca="1">SUM('AC-SVC'!H77)</f>
        <v>0</v>
      </c>
      <c r="BG77" s="68">
        <f ca="1">SUM(PT!C77)</f>
        <v>0</v>
      </c>
      <c r="BH77" s="68">
        <f ca="1">SUM(CCLC!C77)</f>
        <v>0</v>
      </c>
      <c r="BI77" s="68">
        <f ca="1">SUM(FC!D77)</f>
        <v>0</v>
      </c>
      <c r="BJ77" s="68">
        <f ca="1">SUM(FN!G77)*BJ7</f>
        <v>0</v>
      </c>
      <c r="BK77" s="68">
        <f ca="1">SUM(FS!D77)</f>
        <v>0</v>
      </c>
      <c r="BL77" s="68">
        <f ca="1">SUM(IT!D77)</f>
        <v>0</v>
      </c>
      <c r="BM77" s="92"/>
      <c r="BN77" s="69">
        <f t="shared" si="29"/>
        <v>74810.102000000014</v>
      </c>
    </row>
    <row r="78" spans="1:66">
      <c r="A78" s="33" t="s">
        <v>17</v>
      </c>
      <c r="B78" s="33" t="s">
        <v>320</v>
      </c>
      <c r="C78" s="25"/>
      <c r="D78" s="25">
        <f t="shared" si="26"/>
        <v>0</v>
      </c>
      <c r="E78" s="166">
        <f t="shared" si="27"/>
        <v>0</v>
      </c>
      <c r="F78" s="25">
        <f t="shared" si="28"/>
        <v>0</v>
      </c>
      <c r="G78" s="25"/>
      <c r="H78" s="25"/>
      <c r="I78" s="178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92"/>
      <c r="BA78" s="68">
        <f ca="1">SUM('AC-SVC'!C78)</f>
        <v>0</v>
      </c>
      <c r="BB78" s="68">
        <f ca="1">SUM('AC-SVC'!D78)</f>
        <v>0</v>
      </c>
      <c r="BC78" s="68">
        <f ca="1">SUM('AC-SVC'!E78)</f>
        <v>0</v>
      </c>
      <c r="BD78" s="68">
        <f ca="1">SUM('AC-SVC'!F78)</f>
        <v>0</v>
      </c>
      <c r="BE78" s="68">
        <f ca="1">SUM('AC-SVC'!G78)</f>
        <v>0</v>
      </c>
      <c r="BF78" s="68">
        <f ca="1">SUM('AC-SVC'!H78)</f>
        <v>0</v>
      </c>
      <c r="BG78" s="68">
        <f ca="1">SUM(PT!C78)</f>
        <v>0</v>
      </c>
      <c r="BH78" s="68">
        <f ca="1">SUM(CCLC!C78)</f>
        <v>0</v>
      </c>
      <c r="BI78" s="68">
        <f ca="1">SUM(FC!D78)</f>
        <v>60522.8</v>
      </c>
      <c r="BJ78" s="68">
        <f ca="1">SUM(FN!G78)</f>
        <v>0</v>
      </c>
      <c r="BK78" s="68">
        <f ca="1">SUM(FS!D78)</f>
        <v>101680.3125</v>
      </c>
      <c r="BL78" s="68">
        <f ca="1">SUM(IT!D78)</f>
        <v>0</v>
      </c>
      <c r="BM78" s="92"/>
      <c r="BN78" s="69">
        <f t="shared" si="29"/>
        <v>162203.11249999999</v>
      </c>
    </row>
    <row r="79" spans="1:66" ht="14.25" customHeight="1">
      <c r="A79" s="33" t="s">
        <v>18</v>
      </c>
      <c r="B79" s="33" t="s">
        <v>322</v>
      </c>
      <c r="C79" s="180"/>
      <c r="D79" s="180">
        <f t="shared" si="26"/>
        <v>0</v>
      </c>
      <c r="E79" s="180">
        <f t="shared" si="27"/>
        <v>0</v>
      </c>
      <c r="F79" s="180">
        <f t="shared" si="28"/>
        <v>0</v>
      </c>
      <c r="G79" s="180"/>
      <c r="H79" s="180"/>
      <c r="I79" s="178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92"/>
      <c r="BA79" s="22">
        <f ca="1">SUM('AC-SVC'!C79)</f>
        <v>0</v>
      </c>
      <c r="BB79" s="22">
        <f ca="1">SUM('AC-SVC'!D79)</f>
        <v>0</v>
      </c>
      <c r="BC79" s="22">
        <f ca="1">SUM('AC-SVC'!E79)</f>
        <v>0</v>
      </c>
      <c r="BD79" s="22">
        <f ca="1">SUM('AC-SVC'!F79)</f>
        <v>0</v>
      </c>
      <c r="BE79" s="22">
        <f ca="1">SUM('AC-SVC'!G79)</f>
        <v>0</v>
      </c>
      <c r="BF79" s="22">
        <f ca="1">SUM('AC-SVC'!H79)</f>
        <v>0</v>
      </c>
      <c r="BG79" s="22">
        <f ca="1">SUM(PT!C79)</f>
        <v>0</v>
      </c>
      <c r="BH79" s="22">
        <f ca="1">SUM(CCLC!C79)</f>
        <v>0</v>
      </c>
      <c r="BI79" s="22">
        <f ca="1">SUM(FC!D79)</f>
        <v>57566.288</v>
      </c>
      <c r="BJ79" s="22">
        <f ca="1">SUM(FN!G79)</f>
        <v>0</v>
      </c>
      <c r="BK79" s="22">
        <f ca="1">SUM(FS!D79)</f>
        <v>0</v>
      </c>
      <c r="BL79" s="22">
        <f ca="1">SUM(IT!D79)</f>
        <v>0</v>
      </c>
      <c r="BM79" s="92"/>
      <c r="BN79" s="70">
        <f t="shared" si="29"/>
        <v>57566.288</v>
      </c>
    </row>
    <row r="80" spans="1:66">
      <c r="B80" s="33" t="s">
        <v>24</v>
      </c>
      <c r="C80" s="25">
        <f t="shared" ref="C80:AY80" si="30">SUM(C72:C79)</f>
        <v>0</v>
      </c>
      <c r="D80" s="25">
        <f t="shared" si="30"/>
        <v>296376.06599117827</v>
      </c>
      <c r="E80" s="25">
        <f t="shared" si="30"/>
        <v>1867526.7016743021</v>
      </c>
      <c r="F80" s="25">
        <f t="shared" si="30"/>
        <v>390022.837006099</v>
      </c>
      <c r="G80" s="25">
        <f t="shared" si="30"/>
        <v>155057.54079751612</v>
      </c>
      <c r="H80" s="25">
        <f t="shared" si="30"/>
        <v>117499.80391279042</v>
      </c>
      <c r="I80" s="178"/>
      <c r="J80" s="25">
        <f t="shared" si="30"/>
        <v>86719.838570366293</v>
      </c>
      <c r="K80" s="25">
        <f t="shared" si="30"/>
        <v>73975.793639534997</v>
      </c>
      <c r="L80" s="25">
        <f t="shared" si="30"/>
        <v>67266.975477785483</v>
      </c>
      <c r="M80" s="25">
        <f t="shared" si="30"/>
        <v>68413.458303491527</v>
      </c>
      <c r="N80" s="25">
        <f t="shared" si="30"/>
        <v>68720.494944422157</v>
      </c>
      <c r="O80" s="25">
        <f t="shared" si="30"/>
        <v>78522.742508838273</v>
      </c>
      <c r="P80" s="25">
        <f t="shared" si="30"/>
        <v>66631.80249015466</v>
      </c>
      <c r="Q80" s="25">
        <f t="shared" si="30"/>
        <v>66571.810971287487</v>
      </c>
      <c r="R80" s="25">
        <f t="shared" si="30"/>
        <v>63862.755907499988</v>
      </c>
      <c r="S80" s="25">
        <f t="shared" si="30"/>
        <v>72975.793639534997</v>
      </c>
      <c r="T80" s="25">
        <f t="shared" si="30"/>
        <v>67043.376800393526</v>
      </c>
      <c r="U80" s="25">
        <f t="shared" si="30"/>
        <v>63239.614723097999</v>
      </c>
      <c r="V80" s="25">
        <f t="shared" si="30"/>
        <v>46801.292099150945</v>
      </c>
      <c r="W80" s="25">
        <f t="shared" si="30"/>
        <v>64896.893974687482</v>
      </c>
      <c r="X80" s="25">
        <f t="shared" si="30"/>
        <v>64939.941664790938</v>
      </c>
      <c r="Y80" s="25">
        <f t="shared" si="30"/>
        <v>63239.614723097999</v>
      </c>
      <c r="Z80" s="25">
        <f t="shared" si="30"/>
        <v>66631.80249015466</v>
      </c>
      <c r="AA80" s="25">
        <f t="shared" si="30"/>
        <v>44546.143580393531</v>
      </c>
      <c r="AB80" s="25">
        <f t="shared" si="30"/>
        <v>56234.040345510584</v>
      </c>
      <c r="AC80" s="25">
        <f t="shared" si="30"/>
        <v>58380.523171216628</v>
      </c>
      <c r="AD80" s="25">
        <f t="shared" si="30"/>
        <v>54648.277364687485</v>
      </c>
      <c r="AE80" s="25">
        <f t="shared" si="30"/>
        <v>55794.760190393528</v>
      </c>
      <c r="AF80" s="25">
        <f t="shared" si="30"/>
        <v>48301.292099150945</v>
      </c>
      <c r="AG80" s="25">
        <f t="shared" si="30"/>
        <v>59892.311401629719</v>
      </c>
      <c r="AH80" s="25">
        <f t="shared" si="30"/>
        <v>55467.130580393532</v>
      </c>
      <c r="AI80" s="25">
        <f t="shared" si="30"/>
        <v>44546.143580393531</v>
      </c>
      <c r="AJ80" s="25">
        <f t="shared" si="30"/>
        <v>43832</v>
      </c>
      <c r="AK80" s="25">
        <f t="shared" si="30"/>
        <v>41365.522687499993</v>
      </c>
      <c r="AL80" s="25">
        <f t="shared" si="30"/>
        <v>102288.24626789353</v>
      </c>
      <c r="AM80" s="25">
        <f t="shared" si="30"/>
        <v>126008.94393507706</v>
      </c>
      <c r="AN80" s="25">
        <f t="shared" si="30"/>
        <v>75525.660216703109</v>
      </c>
      <c r="AO80" s="25">
        <f t="shared" si="30"/>
        <v>42399.660754687487</v>
      </c>
      <c r="AP80" s="25">
        <f t="shared" si="30"/>
        <v>87012.464199060618</v>
      </c>
      <c r="AQ80" s="25">
        <f t="shared" si="30"/>
        <v>17205.644362499996</v>
      </c>
      <c r="AR80" s="25">
        <f t="shared" si="30"/>
        <v>62085.810754687489</v>
      </c>
      <c r="AS80" s="25">
        <f t="shared" si="30"/>
        <v>42399.660754687487</v>
      </c>
      <c r="AT80" s="25">
        <f t="shared" si="30"/>
        <v>43459.652273554668</v>
      </c>
      <c r="AU80" s="25">
        <f t="shared" si="30"/>
        <v>42399.660754687487</v>
      </c>
      <c r="AV80" s="25">
        <f t="shared" si="30"/>
        <v>42926</v>
      </c>
      <c r="AW80" s="25">
        <f t="shared" si="30"/>
        <v>65189.478410331998</v>
      </c>
      <c r="AX80" s="25">
        <f t="shared" si="30"/>
        <v>30990.443680806125</v>
      </c>
      <c r="AY80" s="25">
        <f t="shared" si="30"/>
        <v>60572.130377343747</v>
      </c>
      <c r="AZ80" s="92"/>
      <c r="BA80" s="25">
        <f t="shared" ref="BA80:BF80" si="31">SUM(BA72:BA79)</f>
        <v>25585.131449006632</v>
      </c>
      <c r="BB80" s="25">
        <f t="shared" si="31"/>
        <v>52773.092898802024</v>
      </c>
      <c r="BC80" s="25">
        <f t="shared" si="31"/>
        <v>45339.288500000002</v>
      </c>
      <c r="BD80" s="25">
        <f t="shared" si="31"/>
        <v>52763.434617297658</v>
      </c>
      <c r="BE80" s="25">
        <f t="shared" si="31"/>
        <v>56774.856600000006</v>
      </c>
      <c r="BF80" s="25">
        <f t="shared" si="31"/>
        <v>22000</v>
      </c>
      <c r="BG80" s="23">
        <f t="shared" ref="BG80:BL80" si="32">+SUM(BG72:BG79)</f>
        <v>28533.06</v>
      </c>
      <c r="BH80" s="23">
        <f t="shared" si="32"/>
        <v>39030.303030303032</v>
      </c>
      <c r="BI80" s="23">
        <f t="shared" si="32"/>
        <v>118089.088</v>
      </c>
      <c r="BJ80" s="23">
        <f t="shared" si="32"/>
        <v>0</v>
      </c>
      <c r="BK80" s="23">
        <f t="shared" si="32"/>
        <v>101680.3125</v>
      </c>
      <c r="BL80" s="23">
        <f t="shared" si="32"/>
        <v>17444.756270066398</v>
      </c>
      <c r="BM80" s="92"/>
      <c r="BN80" s="56">
        <f>SUM(BN72:BN79)</f>
        <v>3386496.2732473621</v>
      </c>
    </row>
    <row r="81" spans="1:66">
      <c r="C81" s="25"/>
      <c r="D81" s="25"/>
      <c r="E81" s="25"/>
      <c r="F81" s="25"/>
      <c r="G81" s="25"/>
      <c r="H81" s="25"/>
      <c r="I81" s="178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92"/>
      <c r="BA81" s="23"/>
      <c r="BB81" s="25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92"/>
    </row>
    <row r="82" spans="1:66">
      <c r="C82" s="25"/>
      <c r="D82" s="25"/>
      <c r="E82" s="25"/>
      <c r="F82" s="25"/>
      <c r="G82" s="25"/>
      <c r="H82" s="25"/>
      <c r="I82" s="178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92"/>
      <c r="BA82" s="23"/>
      <c r="BB82" s="25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92"/>
    </row>
    <row r="83" spans="1:66">
      <c r="A83" s="33" t="s">
        <v>325</v>
      </c>
      <c r="C83" s="25"/>
      <c r="D83" s="25"/>
      <c r="E83" s="25"/>
      <c r="F83" s="25"/>
      <c r="G83" s="25"/>
      <c r="H83" s="25"/>
      <c r="I83" s="178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92"/>
      <c r="BA83" s="23"/>
      <c r="BB83" s="25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92"/>
    </row>
    <row r="84" spans="1:66">
      <c r="A84" s="33" t="s">
        <v>20</v>
      </c>
      <c r="B84" s="33" t="s">
        <v>324</v>
      </c>
      <c r="C84" s="25"/>
      <c r="D84" s="25">
        <f>SUM(J84:M84)</f>
        <v>1120</v>
      </c>
      <c r="E84" s="166">
        <f>SUM(N84:AQ84)</f>
        <v>21280</v>
      </c>
      <c r="F84" s="25">
        <f>SUM(AR84:AY84)</f>
        <v>8400</v>
      </c>
      <c r="G84" s="25"/>
      <c r="H84" s="25"/>
      <c r="I84" s="178"/>
      <c r="J84" s="25">
        <f>40*7</f>
        <v>280</v>
      </c>
      <c r="K84" s="25">
        <f t="shared" ref="K84:AE84" si="33">40*7</f>
        <v>280</v>
      </c>
      <c r="L84" s="25">
        <f t="shared" si="33"/>
        <v>280</v>
      </c>
      <c r="M84" s="25">
        <f t="shared" si="33"/>
        <v>280</v>
      </c>
      <c r="N84" s="25">
        <f t="shared" si="33"/>
        <v>280</v>
      </c>
      <c r="O84" s="25">
        <f t="shared" si="33"/>
        <v>280</v>
      </c>
      <c r="P84" s="25">
        <f t="shared" si="33"/>
        <v>280</v>
      </c>
      <c r="Q84" s="25">
        <f t="shared" si="33"/>
        <v>280</v>
      </c>
      <c r="R84" s="25">
        <f t="shared" si="33"/>
        <v>280</v>
      </c>
      <c r="S84" s="25">
        <f t="shared" si="33"/>
        <v>280</v>
      </c>
      <c r="T84" s="25">
        <f t="shared" si="33"/>
        <v>280</v>
      </c>
      <c r="U84" s="25">
        <f t="shared" si="33"/>
        <v>280</v>
      </c>
      <c r="V84" s="25">
        <f>150*7</f>
        <v>1050</v>
      </c>
      <c r="W84" s="25">
        <f t="shared" si="33"/>
        <v>280</v>
      </c>
      <c r="X84" s="25">
        <f t="shared" si="33"/>
        <v>280</v>
      </c>
      <c r="Y84" s="25">
        <f t="shared" si="33"/>
        <v>280</v>
      </c>
      <c r="Z84" s="25">
        <f t="shared" si="33"/>
        <v>280</v>
      </c>
      <c r="AA84" s="25">
        <f>150*7</f>
        <v>1050</v>
      </c>
      <c r="AB84" s="25">
        <f t="shared" si="33"/>
        <v>280</v>
      </c>
      <c r="AC84" s="25">
        <f t="shared" si="33"/>
        <v>280</v>
      </c>
      <c r="AD84" s="25">
        <f t="shared" si="33"/>
        <v>280</v>
      </c>
      <c r="AE84" s="25">
        <f t="shared" si="33"/>
        <v>280</v>
      </c>
      <c r="AF84" s="25">
        <f t="shared" ref="AF84:AY84" si="34">150*7</f>
        <v>1050</v>
      </c>
      <c r="AG84" s="25">
        <f t="shared" si="34"/>
        <v>1050</v>
      </c>
      <c r="AH84" s="25">
        <f t="shared" si="34"/>
        <v>1050</v>
      </c>
      <c r="AI84" s="25">
        <f t="shared" si="34"/>
        <v>1050</v>
      </c>
      <c r="AJ84" s="25">
        <f t="shared" si="34"/>
        <v>1050</v>
      </c>
      <c r="AK84" s="25">
        <f t="shared" si="34"/>
        <v>1050</v>
      </c>
      <c r="AL84" s="25">
        <f>150*7*2</f>
        <v>2100</v>
      </c>
      <c r="AM84" s="25">
        <f>150*7*2</f>
        <v>2100</v>
      </c>
      <c r="AN84" s="25">
        <f t="shared" si="34"/>
        <v>1050</v>
      </c>
      <c r="AO84" s="25">
        <f t="shared" si="34"/>
        <v>1050</v>
      </c>
      <c r="AP84" s="25">
        <f t="shared" si="34"/>
        <v>1050</v>
      </c>
      <c r="AQ84" s="25">
        <f t="shared" si="34"/>
        <v>1050</v>
      </c>
      <c r="AR84" s="25">
        <f t="shared" si="34"/>
        <v>1050</v>
      </c>
      <c r="AS84" s="25">
        <f t="shared" si="34"/>
        <v>1050</v>
      </c>
      <c r="AT84" s="25">
        <f t="shared" si="34"/>
        <v>1050</v>
      </c>
      <c r="AU84" s="25">
        <f t="shared" si="34"/>
        <v>1050</v>
      </c>
      <c r="AV84" s="25">
        <f t="shared" si="34"/>
        <v>1050</v>
      </c>
      <c r="AW84" s="25">
        <f t="shared" si="34"/>
        <v>1050</v>
      </c>
      <c r="AX84" s="25">
        <f t="shared" si="34"/>
        <v>1050</v>
      </c>
      <c r="AY84" s="25">
        <f t="shared" si="34"/>
        <v>1050</v>
      </c>
      <c r="AZ84" s="92"/>
      <c r="BA84" s="68">
        <f ca="1">SUM('AC-SVC'!C84)</f>
        <v>0</v>
      </c>
      <c r="BB84" s="68">
        <f ca="1">SUM('AC-SVC'!D84)</f>
        <v>0</v>
      </c>
      <c r="BC84" s="68">
        <f ca="1">SUM('AC-SVC'!E84)</f>
        <v>0</v>
      </c>
      <c r="BD84" s="68">
        <f ca="1">SUM('AC-SVC'!F84)</f>
        <v>0</v>
      </c>
      <c r="BE84" s="68">
        <f ca="1">SUM('AC-SVC'!G84)</f>
        <v>0</v>
      </c>
      <c r="BF84" s="68">
        <f ca="1">SUM('AC-SVC'!H84)</f>
        <v>0</v>
      </c>
      <c r="BG84" s="68">
        <f ca="1">SUM(PT!C84)</f>
        <v>0</v>
      </c>
      <c r="BH84" s="68">
        <f ca="1">SUM(CCLC!C84)</f>
        <v>0</v>
      </c>
      <c r="BI84" s="68">
        <f ca="1">SUM(FC!D84)</f>
        <v>0</v>
      </c>
      <c r="BJ84" s="68">
        <f ca="1">SUM(FN!G84)</f>
        <v>0</v>
      </c>
      <c r="BK84" s="68">
        <f ca="1">SUM(FS!D84)</f>
        <v>2520</v>
      </c>
      <c r="BL84" s="68">
        <f ca="1">SUM(IT!D84)</f>
        <v>0</v>
      </c>
      <c r="BM84" s="92"/>
      <c r="BN84" s="69">
        <f>SUM(C84:H84)+SUM(BA84:BL84)</f>
        <v>33320</v>
      </c>
    </row>
    <row r="85" spans="1:66">
      <c r="A85" s="33" t="s">
        <v>21</v>
      </c>
      <c r="B85" s="33" t="s">
        <v>325</v>
      </c>
      <c r="C85" s="25"/>
      <c r="D85" s="25">
        <f>SUM(J85:M85)</f>
        <v>0</v>
      </c>
      <c r="E85" s="166">
        <f>SUM(N85:AQ85)</f>
        <v>0</v>
      </c>
      <c r="F85" s="25">
        <f>SUM(AR85:AY85)</f>
        <v>0</v>
      </c>
      <c r="G85" s="25"/>
      <c r="H85" s="25"/>
      <c r="I85" s="178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92"/>
      <c r="BA85" s="68">
        <f ca="1">SUM('AC-SVC'!C85)</f>
        <v>0</v>
      </c>
      <c r="BB85" s="68">
        <f ca="1">SUM('AC-SVC'!D85)</f>
        <v>0</v>
      </c>
      <c r="BC85" s="68">
        <f ca="1">SUM('AC-SVC'!E85)</f>
        <v>0</v>
      </c>
      <c r="BD85" s="68">
        <f ca="1">SUM('AC-SVC'!F85)</f>
        <v>0</v>
      </c>
      <c r="BE85" s="68">
        <f ca="1">SUM('AC-SVC'!G85)</f>
        <v>0</v>
      </c>
      <c r="BF85" s="68">
        <f ca="1">SUM('AC-SVC'!H85)</f>
        <v>0</v>
      </c>
      <c r="BG85" s="68">
        <f ca="1">SUM(PT!C85)</f>
        <v>0</v>
      </c>
      <c r="BH85" s="68">
        <f ca="1">SUM(CCLC!C85)</f>
        <v>0</v>
      </c>
      <c r="BI85" s="68">
        <f ca="1">SUM(FC!D85)</f>
        <v>10000</v>
      </c>
      <c r="BJ85" s="68">
        <f ca="1">SUM(FN!G85)</f>
        <v>0</v>
      </c>
      <c r="BK85" s="68">
        <f ca="1">SUM(FS!D85)</f>
        <v>0</v>
      </c>
      <c r="BL85" s="68">
        <f ca="1">SUM(IT!D85)</f>
        <v>0</v>
      </c>
      <c r="BM85" s="92"/>
      <c r="BN85" s="69">
        <f>SUM(C85:H85)+SUM(BA85:BL85)</f>
        <v>10000</v>
      </c>
    </row>
    <row r="86" spans="1:66">
      <c r="A86" s="33" t="s">
        <v>440</v>
      </c>
      <c r="B86" s="33" t="s">
        <v>441</v>
      </c>
      <c r="C86" s="25"/>
      <c r="D86" s="25"/>
      <c r="E86" s="166">
        <f>SUM(N86:AQ86)</f>
        <v>0</v>
      </c>
      <c r="F86" s="25"/>
      <c r="G86" s="25"/>
      <c r="H86" s="25"/>
      <c r="I86" s="178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92"/>
      <c r="BA86" s="68">
        <f ca="1">SUM('AC-SVC'!C86)</f>
        <v>0</v>
      </c>
      <c r="BB86" s="68">
        <f ca="1">SUM('AC-SVC'!D86)</f>
        <v>0</v>
      </c>
      <c r="BC86" s="68">
        <f ca="1">SUM('AC-SVC'!E86)</f>
        <v>0</v>
      </c>
      <c r="BD86" s="68">
        <f ca="1">SUM('AC-SVC'!F86)</f>
        <v>0</v>
      </c>
      <c r="BE86" s="68">
        <f ca="1">SUM('AC-SVC'!G86)</f>
        <v>0</v>
      </c>
      <c r="BF86" s="68">
        <f ca="1">SUM('AC-SVC'!H86)</f>
        <v>0</v>
      </c>
      <c r="BG86" s="68">
        <f ca="1">SUM(PT!C86)</f>
        <v>0</v>
      </c>
      <c r="BH86" s="68">
        <f ca="1">SUM(CCLC!C86)</f>
        <v>0</v>
      </c>
      <c r="BI86" s="68">
        <f ca="1">SUM(FC!D86)</f>
        <v>0</v>
      </c>
      <c r="BJ86" s="68">
        <f ca="1">SUM(FN!G86)*BJ7</f>
        <v>0</v>
      </c>
      <c r="BK86" s="68">
        <f ca="1">SUM(FS!D86)</f>
        <v>0</v>
      </c>
      <c r="BL86" s="68">
        <f ca="1">SUM(IT!D86)</f>
        <v>0</v>
      </c>
      <c r="BM86" s="92"/>
      <c r="BN86" s="69">
        <f>SUM(C86:H86)+SUM(BA86:BL86)</f>
        <v>0</v>
      </c>
    </row>
    <row r="87" spans="1:66">
      <c r="A87" s="33" t="s">
        <v>22</v>
      </c>
      <c r="B87" s="33" t="s">
        <v>23</v>
      </c>
      <c r="C87" s="180"/>
      <c r="D87" s="180">
        <f>SUM(J87:M87)</f>
        <v>6000</v>
      </c>
      <c r="E87" s="180">
        <f>SUM(N87:AQ87)</f>
        <v>52000</v>
      </c>
      <c r="F87" s="180">
        <f>SUM(AR87:AY87)</f>
        <v>6000</v>
      </c>
      <c r="G87" s="180"/>
      <c r="H87" s="180"/>
      <c r="I87" s="178"/>
      <c r="J87" s="180"/>
      <c r="K87" s="180"/>
      <c r="L87" s="180">
        <v>6000</v>
      </c>
      <c r="M87" s="180"/>
      <c r="N87" s="180"/>
      <c r="O87" s="180"/>
      <c r="P87" s="180">
        <v>6000</v>
      </c>
      <c r="Q87" s="180">
        <v>6000</v>
      </c>
      <c r="R87" s="180"/>
      <c r="S87" s="180"/>
      <c r="T87" s="180">
        <v>4000</v>
      </c>
      <c r="U87" s="180"/>
      <c r="V87" s="180"/>
      <c r="W87" s="180"/>
      <c r="X87" s="180"/>
      <c r="Y87" s="180">
        <v>4000</v>
      </c>
      <c r="Z87" s="180">
        <v>4000</v>
      </c>
      <c r="AA87" s="180"/>
      <c r="AB87" s="180"/>
      <c r="AC87" s="180">
        <v>4000</v>
      </c>
      <c r="AD87" s="180">
        <v>6000</v>
      </c>
      <c r="AE87" s="180">
        <v>6000</v>
      </c>
      <c r="AF87" s="180"/>
      <c r="AG87" s="180"/>
      <c r="AH87" s="180">
        <v>4000</v>
      </c>
      <c r="AI87" s="180">
        <v>4000</v>
      </c>
      <c r="AJ87" s="180">
        <v>4000</v>
      </c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>
        <v>6000</v>
      </c>
      <c r="AW87" s="180"/>
      <c r="AX87" s="180"/>
      <c r="AY87" s="180"/>
      <c r="AZ87" s="92"/>
      <c r="BA87" s="22">
        <f ca="1">SUM('AC-SVC'!C87)</f>
        <v>0</v>
      </c>
      <c r="BB87" s="22">
        <f ca="1">SUM('AC-SVC'!D87)</f>
        <v>0</v>
      </c>
      <c r="BC87" s="22">
        <f ca="1">SUM('AC-SVC'!E87)</f>
        <v>0</v>
      </c>
      <c r="BD87" s="22">
        <f ca="1">SUM('AC-SVC'!F87)</f>
        <v>0</v>
      </c>
      <c r="BE87" s="22">
        <f ca="1">SUM('AC-SVC'!G87)</f>
        <v>0</v>
      </c>
      <c r="BF87" s="22">
        <f ca="1">SUM('AC-SVC'!H87)</f>
        <v>0</v>
      </c>
      <c r="BG87" s="22">
        <f ca="1">SUM(PT!C87)</f>
        <v>0</v>
      </c>
      <c r="BH87" s="22">
        <f ca="1">SUM(CCLC!C87)</f>
        <v>0</v>
      </c>
      <c r="BI87" s="22">
        <f ca="1">SUM(FC!D87)</f>
        <v>0</v>
      </c>
      <c r="BJ87" s="22">
        <f ca="1">SUM(FN!G87)</f>
        <v>0</v>
      </c>
      <c r="BK87" s="22">
        <f ca="1">SUM(FS!D87)</f>
        <v>0</v>
      </c>
      <c r="BL87" s="22">
        <f ca="1">SUM(IT!D87)</f>
        <v>0</v>
      </c>
      <c r="BM87" s="92"/>
      <c r="BN87" s="70">
        <f>SUM(C87:H87)+SUM(BA87:BL87)</f>
        <v>64000</v>
      </c>
    </row>
    <row r="88" spans="1:66">
      <c r="B88" s="33" t="s">
        <v>326</v>
      </c>
      <c r="C88" s="25">
        <f t="shared" ref="C88:AY88" si="35">SUM(C84:C87)</f>
        <v>0</v>
      </c>
      <c r="D88" s="25">
        <f t="shared" si="35"/>
        <v>7120</v>
      </c>
      <c r="E88" s="25">
        <f t="shared" si="35"/>
        <v>73280</v>
      </c>
      <c r="F88" s="25">
        <f t="shared" si="35"/>
        <v>14400</v>
      </c>
      <c r="G88" s="25">
        <f t="shared" si="35"/>
        <v>0</v>
      </c>
      <c r="H88" s="25">
        <f t="shared" si="35"/>
        <v>0</v>
      </c>
      <c r="I88" s="178"/>
      <c r="J88" s="25">
        <f t="shared" si="35"/>
        <v>280</v>
      </c>
      <c r="K88" s="25">
        <f t="shared" si="35"/>
        <v>280</v>
      </c>
      <c r="L88" s="25">
        <f t="shared" si="35"/>
        <v>6280</v>
      </c>
      <c r="M88" s="25">
        <f t="shared" si="35"/>
        <v>280</v>
      </c>
      <c r="N88" s="25">
        <f t="shared" si="35"/>
        <v>280</v>
      </c>
      <c r="O88" s="25">
        <f t="shared" si="35"/>
        <v>280</v>
      </c>
      <c r="P88" s="25">
        <f t="shared" si="35"/>
        <v>6280</v>
      </c>
      <c r="Q88" s="25">
        <f t="shared" si="35"/>
        <v>6280</v>
      </c>
      <c r="R88" s="25">
        <f t="shared" si="35"/>
        <v>280</v>
      </c>
      <c r="S88" s="25">
        <f t="shared" si="35"/>
        <v>280</v>
      </c>
      <c r="T88" s="25">
        <f t="shared" si="35"/>
        <v>4280</v>
      </c>
      <c r="U88" s="25">
        <f t="shared" si="35"/>
        <v>280</v>
      </c>
      <c r="V88" s="25">
        <f t="shared" si="35"/>
        <v>1050</v>
      </c>
      <c r="W88" s="25">
        <f t="shared" si="35"/>
        <v>280</v>
      </c>
      <c r="X88" s="25">
        <f t="shared" si="35"/>
        <v>280</v>
      </c>
      <c r="Y88" s="25">
        <f t="shared" si="35"/>
        <v>4280</v>
      </c>
      <c r="Z88" s="25">
        <f t="shared" si="35"/>
        <v>4280</v>
      </c>
      <c r="AA88" s="25">
        <f t="shared" si="35"/>
        <v>1050</v>
      </c>
      <c r="AB88" s="25">
        <f t="shared" si="35"/>
        <v>280</v>
      </c>
      <c r="AC88" s="25">
        <f t="shared" si="35"/>
        <v>4280</v>
      </c>
      <c r="AD88" s="25">
        <f t="shared" si="35"/>
        <v>6280</v>
      </c>
      <c r="AE88" s="25">
        <f t="shared" si="35"/>
        <v>6280</v>
      </c>
      <c r="AF88" s="25">
        <f t="shared" si="35"/>
        <v>1050</v>
      </c>
      <c r="AG88" s="25">
        <f t="shared" si="35"/>
        <v>1050</v>
      </c>
      <c r="AH88" s="25">
        <f t="shared" si="35"/>
        <v>5050</v>
      </c>
      <c r="AI88" s="25">
        <f t="shared" si="35"/>
        <v>5050</v>
      </c>
      <c r="AJ88" s="25">
        <f t="shared" si="35"/>
        <v>5050</v>
      </c>
      <c r="AK88" s="25">
        <f t="shared" si="35"/>
        <v>1050</v>
      </c>
      <c r="AL88" s="25">
        <f t="shared" si="35"/>
        <v>2100</v>
      </c>
      <c r="AM88" s="25">
        <f t="shared" si="35"/>
        <v>2100</v>
      </c>
      <c r="AN88" s="25">
        <f t="shared" si="35"/>
        <v>1050</v>
      </c>
      <c r="AO88" s="25">
        <f t="shared" si="35"/>
        <v>1050</v>
      </c>
      <c r="AP88" s="25">
        <f t="shared" si="35"/>
        <v>1050</v>
      </c>
      <c r="AQ88" s="25">
        <f t="shared" si="35"/>
        <v>1050</v>
      </c>
      <c r="AR88" s="25">
        <f t="shared" si="35"/>
        <v>1050</v>
      </c>
      <c r="AS88" s="25">
        <f t="shared" si="35"/>
        <v>1050</v>
      </c>
      <c r="AT88" s="25">
        <f t="shared" si="35"/>
        <v>1050</v>
      </c>
      <c r="AU88" s="25">
        <f t="shared" si="35"/>
        <v>1050</v>
      </c>
      <c r="AV88" s="25">
        <f t="shared" si="35"/>
        <v>7050</v>
      </c>
      <c r="AW88" s="25">
        <f t="shared" si="35"/>
        <v>1050</v>
      </c>
      <c r="AX88" s="25">
        <f t="shared" si="35"/>
        <v>1050</v>
      </c>
      <c r="AY88" s="25">
        <f t="shared" si="35"/>
        <v>1050</v>
      </c>
      <c r="AZ88" s="92"/>
      <c r="BA88" s="23">
        <f t="shared" ref="BA88:BF88" si="36">+SUM(BA84:BA87)</f>
        <v>0</v>
      </c>
      <c r="BB88" s="25">
        <f t="shared" si="36"/>
        <v>0</v>
      </c>
      <c r="BC88" s="23">
        <f t="shared" si="36"/>
        <v>0</v>
      </c>
      <c r="BD88" s="23">
        <f t="shared" si="36"/>
        <v>0</v>
      </c>
      <c r="BE88" s="23">
        <f t="shared" si="36"/>
        <v>0</v>
      </c>
      <c r="BF88" s="23">
        <f t="shared" si="36"/>
        <v>0</v>
      </c>
      <c r="BG88" s="23">
        <f t="shared" ref="BG88:BL88" si="37">+SUM(BG84:BG87)</f>
        <v>0</v>
      </c>
      <c r="BH88" s="23">
        <f t="shared" si="37"/>
        <v>0</v>
      </c>
      <c r="BI88" s="23">
        <f t="shared" si="37"/>
        <v>10000</v>
      </c>
      <c r="BJ88" s="23">
        <f t="shared" si="37"/>
        <v>0</v>
      </c>
      <c r="BK88" s="23">
        <f t="shared" si="37"/>
        <v>2520</v>
      </c>
      <c r="BL88" s="23">
        <f t="shared" si="37"/>
        <v>0</v>
      </c>
      <c r="BM88" s="92"/>
      <c r="BN88" s="56">
        <f>SUM(BN84:BN87)</f>
        <v>107320</v>
      </c>
    </row>
    <row r="89" spans="1:66">
      <c r="C89" s="25"/>
      <c r="D89" s="25"/>
      <c r="E89" s="25"/>
      <c r="F89" s="25"/>
      <c r="G89" s="25"/>
      <c r="H89" s="25"/>
      <c r="I89" s="178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92"/>
      <c r="BA89" s="23"/>
      <c r="BB89" s="25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92"/>
    </row>
    <row r="90" spans="1:66">
      <c r="B90" s="33" t="s">
        <v>327</v>
      </c>
      <c r="C90" s="25">
        <f t="shared" ref="C90:AY90" si="38">SUM(C80+C88)</f>
        <v>0</v>
      </c>
      <c r="D90" s="25">
        <f t="shared" si="38"/>
        <v>303496.06599117827</v>
      </c>
      <c r="E90" s="25">
        <f t="shared" si="38"/>
        <v>1940806.7016743021</v>
      </c>
      <c r="F90" s="25">
        <f t="shared" si="38"/>
        <v>404422.837006099</v>
      </c>
      <c r="G90" s="25">
        <f t="shared" si="38"/>
        <v>155057.54079751612</v>
      </c>
      <c r="H90" s="25">
        <f t="shared" si="38"/>
        <v>117499.80391279042</v>
      </c>
      <c r="I90" s="178"/>
      <c r="J90" s="25">
        <f t="shared" si="38"/>
        <v>86999.838570366293</v>
      </c>
      <c r="K90" s="25">
        <f t="shared" si="38"/>
        <v>74255.793639534997</v>
      </c>
      <c r="L90" s="25">
        <f t="shared" si="38"/>
        <v>73546.975477785483</v>
      </c>
      <c r="M90" s="25">
        <f t="shared" si="38"/>
        <v>68693.458303491527</v>
      </c>
      <c r="N90" s="25">
        <f t="shared" si="38"/>
        <v>69000.494944422157</v>
      </c>
      <c r="O90" s="25">
        <f t="shared" si="38"/>
        <v>78802.742508838273</v>
      </c>
      <c r="P90" s="25">
        <f t="shared" si="38"/>
        <v>72911.80249015466</v>
      </c>
      <c r="Q90" s="25">
        <f t="shared" si="38"/>
        <v>72851.810971287487</v>
      </c>
      <c r="R90" s="25">
        <f t="shared" si="38"/>
        <v>64142.755907499988</v>
      </c>
      <c r="S90" s="25">
        <f t="shared" si="38"/>
        <v>73255.793639534997</v>
      </c>
      <c r="T90" s="25">
        <f t="shared" si="38"/>
        <v>71323.376800393526</v>
      </c>
      <c r="U90" s="25">
        <f t="shared" si="38"/>
        <v>63519.614723097999</v>
      </c>
      <c r="V90" s="25">
        <f t="shared" si="38"/>
        <v>47851.292099150945</v>
      </c>
      <c r="W90" s="25">
        <f t="shared" si="38"/>
        <v>65176.893974687482</v>
      </c>
      <c r="X90" s="25">
        <f t="shared" si="38"/>
        <v>65219.941664790938</v>
      </c>
      <c r="Y90" s="25">
        <f t="shared" si="38"/>
        <v>67519.614723097999</v>
      </c>
      <c r="Z90" s="25">
        <f t="shared" si="38"/>
        <v>70911.80249015466</v>
      </c>
      <c r="AA90" s="25">
        <f t="shared" si="38"/>
        <v>45596.143580393531</v>
      </c>
      <c r="AB90" s="25">
        <f t="shared" si="38"/>
        <v>56514.040345510584</v>
      </c>
      <c r="AC90" s="25">
        <f t="shared" si="38"/>
        <v>62660.523171216628</v>
      </c>
      <c r="AD90" s="25">
        <f t="shared" si="38"/>
        <v>60928.277364687485</v>
      </c>
      <c r="AE90" s="25">
        <f t="shared" si="38"/>
        <v>62074.760190393528</v>
      </c>
      <c r="AF90" s="25">
        <f t="shared" si="38"/>
        <v>49351.292099150945</v>
      </c>
      <c r="AG90" s="25">
        <f t="shared" si="38"/>
        <v>60942.311401629719</v>
      </c>
      <c r="AH90" s="25">
        <f t="shared" si="38"/>
        <v>60517.130580393532</v>
      </c>
      <c r="AI90" s="25">
        <f t="shared" si="38"/>
        <v>49596.143580393531</v>
      </c>
      <c r="AJ90" s="25">
        <f t="shared" si="38"/>
        <v>48882</v>
      </c>
      <c r="AK90" s="25">
        <f t="shared" si="38"/>
        <v>42415.522687499993</v>
      </c>
      <c r="AL90" s="25">
        <f t="shared" si="38"/>
        <v>104388.24626789353</v>
      </c>
      <c r="AM90" s="25">
        <f t="shared" si="38"/>
        <v>128108.94393507706</v>
      </c>
      <c r="AN90" s="25">
        <f t="shared" si="38"/>
        <v>76575.660216703109</v>
      </c>
      <c r="AO90" s="25">
        <f t="shared" si="38"/>
        <v>43449.660754687487</v>
      </c>
      <c r="AP90" s="25">
        <f t="shared" si="38"/>
        <v>88062.464199060618</v>
      </c>
      <c r="AQ90" s="25">
        <f t="shared" si="38"/>
        <v>18255.644362499996</v>
      </c>
      <c r="AR90" s="25">
        <f t="shared" si="38"/>
        <v>63135.810754687489</v>
      </c>
      <c r="AS90" s="25">
        <f t="shared" si="38"/>
        <v>43449.660754687487</v>
      </c>
      <c r="AT90" s="25">
        <f t="shared" si="38"/>
        <v>44509.652273554668</v>
      </c>
      <c r="AU90" s="25">
        <f t="shared" si="38"/>
        <v>43449.660754687487</v>
      </c>
      <c r="AV90" s="25">
        <f t="shared" si="38"/>
        <v>49976</v>
      </c>
      <c r="AW90" s="25">
        <f t="shared" si="38"/>
        <v>66239.478410331998</v>
      </c>
      <c r="AX90" s="25">
        <f t="shared" si="38"/>
        <v>32040.443680806125</v>
      </c>
      <c r="AY90" s="25">
        <f t="shared" si="38"/>
        <v>61622.130377343747</v>
      </c>
      <c r="AZ90" s="92"/>
      <c r="BA90" s="25">
        <f t="shared" ref="BA90:BF90" si="39">SUM(BA80+BA88)</f>
        <v>25585.131449006632</v>
      </c>
      <c r="BB90" s="25">
        <f t="shared" si="39"/>
        <v>52773.092898802024</v>
      </c>
      <c r="BC90" s="25">
        <f t="shared" si="39"/>
        <v>45339.288500000002</v>
      </c>
      <c r="BD90" s="25">
        <f t="shared" si="39"/>
        <v>52763.434617297658</v>
      </c>
      <c r="BE90" s="25">
        <f t="shared" si="39"/>
        <v>56774.856600000006</v>
      </c>
      <c r="BF90" s="25">
        <f t="shared" si="39"/>
        <v>22000</v>
      </c>
      <c r="BG90" s="23">
        <f t="shared" ref="BG90:BL90" si="40">+BG80+BG88</f>
        <v>28533.06</v>
      </c>
      <c r="BH90" s="23">
        <f t="shared" si="40"/>
        <v>39030.303030303032</v>
      </c>
      <c r="BI90" s="23">
        <f t="shared" si="40"/>
        <v>128089.088</v>
      </c>
      <c r="BJ90" s="23">
        <f t="shared" si="40"/>
        <v>0</v>
      </c>
      <c r="BK90" s="23">
        <f t="shared" si="40"/>
        <v>104200.3125</v>
      </c>
      <c r="BL90" s="23">
        <f t="shared" si="40"/>
        <v>17444.756270066398</v>
      </c>
      <c r="BM90" s="92"/>
      <c r="BN90" s="42">
        <f>+BN80+BN88</f>
        <v>3493816.2732473621</v>
      </c>
    </row>
    <row r="91" spans="1:66">
      <c r="C91" s="25"/>
      <c r="D91" s="25"/>
      <c r="E91" s="25"/>
      <c r="F91" s="25"/>
      <c r="G91" s="25"/>
      <c r="H91" s="25"/>
      <c r="I91" s="178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92"/>
      <c r="BA91" s="23"/>
      <c r="BB91" s="25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92"/>
    </row>
    <row r="92" spans="1:66">
      <c r="A92" s="33" t="s">
        <v>328</v>
      </c>
      <c r="C92" s="25"/>
      <c r="D92" s="25"/>
      <c r="E92" s="25"/>
      <c r="F92" s="25"/>
      <c r="G92" s="25"/>
      <c r="H92" s="25"/>
      <c r="I92" s="178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92"/>
      <c r="BA92" s="23"/>
      <c r="BB92" s="25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92"/>
    </row>
    <row r="93" spans="1:66">
      <c r="A93" s="33" t="s">
        <v>25</v>
      </c>
      <c r="B93" s="33" t="s">
        <v>33</v>
      </c>
      <c r="C93" s="25"/>
      <c r="D93" s="25">
        <f>SUM(J93:M93)</f>
        <v>28151.423999999999</v>
      </c>
      <c r="E93" s="166">
        <f t="shared" ref="E93:E101" si="41">SUM(N93:AQ93)</f>
        <v>175946.39999999994</v>
      </c>
      <c r="F93" s="25">
        <f>SUM(AR93:AY93)</f>
        <v>33429.815999999999</v>
      </c>
      <c r="G93" s="25">
        <f>+G$7*139.64*2*1.05*12</f>
        <v>12316.248</v>
      </c>
      <c r="H93" s="25">
        <f>+H$7*139.64*2*1.05*12</f>
        <v>7037.8559999999998</v>
      </c>
      <c r="I93" s="178"/>
      <c r="J93" s="25">
        <f t="shared" ref="J93:AY93" si="42">+J$7*139.64*2*1.05*12</f>
        <v>7037.8559999999998</v>
      </c>
      <c r="K93" s="25">
        <f t="shared" si="42"/>
        <v>7037.8559999999998</v>
      </c>
      <c r="L93" s="25">
        <f t="shared" si="42"/>
        <v>7037.8559999999998</v>
      </c>
      <c r="M93" s="25">
        <f t="shared" si="42"/>
        <v>7037.8559999999998</v>
      </c>
      <c r="N93" s="25">
        <f t="shared" si="42"/>
        <v>7037.8559999999998</v>
      </c>
      <c r="O93" s="25">
        <f t="shared" si="42"/>
        <v>7037.8559999999998</v>
      </c>
      <c r="P93" s="25">
        <f t="shared" si="42"/>
        <v>7037.8559999999998</v>
      </c>
      <c r="Q93" s="25">
        <f t="shared" si="42"/>
        <v>7037.8559999999998</v>
      </c>
      <c r="R93" s="25">
        <f t="shared" si="42"/>
        <v>7037.8559999999998</v>
      </c>
      <c r="S93" s="25">
        <f t="shared" si="42"/>
        <v>7037.8559999999998</v>
      </c>
      <c r="T93" s="25">
        <f t="shared" si="42"/>
        <v>7037.8559999999998</v>
      </c>
      <c r="U93" s="25">
        <f t="shared" si="42"/>
        <v>7037.8559999999998</v>
      </c>
      <c r="V93" s="25">
        <f t="shared" si="42"/>
        <v>3518.9279999999999</v>
      </c>
      <c r="W93" s="25">
        <f t="shared" si="42"/>
        <v>7037.8559999999998</v>
      </c>
      <c r="X93" s="25">
        <f t="shared" si="42"/>
        <v>7037.8559999999998</v>
      </c>
      <c r="Y93" s="25">
        <f t="shared" si="42"/>
        <v>7037.8559999999998</v>
      </c>
      <c r="Z93" s="25">
        <f t="shared" si="42"/>
        <v>7037.8559999999998</v>
      </c>
      <c r="AA93" s="25">
        <f t="shared" si="42"/>
        <v>3518.9279999999999</v>
      </c>
      <c r="AB93" s="25">
        <f t="shared" si="42"/>
        <v>5278.3919999999998</v>
      </c>
      <c r="AC93" s="25">
        <f t="shared" si="42"/>
        <v>5278.3919999999998</v>
      </c>
      <c r="AD93" s="25">
        <f t="shared" si="42"/>
        <v>5278.3919999999998</v>
      </c>
      <c r="AE93" s="25">
        <f t="shared" si="42"/>
        <v>5278.3919999999998</v>
      </c>
      <c r="AF93" s="25">
        <f t="shared" si="42"/>
        <v>3518.9279999999999</v>
      </c>
      <c r="AG93" s="25">
        <f t="shared" si="42"/>
        <v>3518.9279999999999</v>
      </c>
      <c r="AH93" s="25">
        <f t="shared" si="42"/>
        <v>3518.9279999999999</v>
      </c>
      <c r="AI93" s="25">
        <f t="shared" si="42"/>
        <v>3518.9279999999999</v>
      </c>
      <c r="AJ93" s="25">
        <f t="shared" si="42"/>
        <v>3518.9279999999999</v>
      </c>
      <c r="AK93" s="25">
        <f t="shared" si="42"/>
        <v>3518.9279999999999</v>
      </c>
      <c r="AL93" s="25">
        <f t="shared" si="42"/>
        <v>8797.32</v>
      </c>
      <c r="AM93" s="25">
        <f t="shared" si="42"/>
        <v>10556.784</v>
      </c>
      <c r="AN93" s="25">
        <f t="shared" si="42"/>
        <v>7037.8559999999998</v>
      </c>
      <c r="AO93" s="25">
        <f t="shared" si="42"/>
        <v>3518.9279999999999</v>
      </c>
      <c r="AP93" s="25">
        <f t="shared" si="42"/>
        <v>10556.784</v>
      </c>
      <c r="AQ93" s="25">
        <f t="shared" si="42"/>
        <v>1759.4639999999999</v>
      </c>
      <c r="AR93" s="25">
        <f t="shared" si="42"/>
        <v>5278.3919999999998</v>
      </c>
      <c r="AS93" s="25">
        <f t="shared" si="42"/>
        <v>3518.9279999999999</v>
      </c>
      <c r="AT93" s="25">
        <f t="shared" si="42"/>
        <v>3518.9279999999999</v>
      </c>
      <c r="AU93" s="25">
        <f t="shared" si="42"/>
        <v>3518.9279999999999</v>
      </c>
      <c r="AV93" s="25">
        <f t="shared" si="42"/>
        <v>3518.9279999999999</v>
      </c>
      <c r="AW93" s="25">
        <f t="shared" si="42"/>
        <v>5278.3919999999998</v>
      </c>
      <c r="AX93" s="25">
        <f t="shared" si="42"/>
        <v>3518.9279999999999</v>
      </c>
      <c r="AY93" s="25">
        <f t="shared" si="42"/>
        <v>5278.3919999999998</v>
      </c>
      <c r="AZ93" s="92"/>
      <c r="BA93" s="23">
        <f t="shared" ref="BA93:BF93" si="43">+BA$7*3410.5</f>
        <v>1364.2</v>
      </c>
      <c r="BB93" s="23">
        <f t="shared" si="43"/>
        <v>3410.5</v>
      </c>
      <c r="BC93" s="23">
        <f t="shared" si="43"/>
        <v>3410.5</v>
      </c>
      <c r="BD93" s="23">
        <f t="shared" si="43"/>
        <v>3410.5</v>
      </c>
      <c r="BE93" s="23">
        <f t="shared" si="43"/>
        <v>4774.7</v>
      </c>
      <c r="BF93" s="23">
        <f t="shared" si="43"/>
        <v>1364.2</v>
      </c>
      <c r="BG93" s="23"/>
      <c r="BH93" s="23"/>
      <c r="BI93" s="23">
        <f>+BI$7*3410.5</f>
        <v>17052.5</v>
      </c>
      <c r="BJ93" s="23">
        <f>+BJ$7*3410.5</f>
        <v>0</v>
      </c>
      <c r="BK93" s="23">
        <f>+BK$7*3410.5</f>
        <v>13642</v>
      </c>
      <c r="BL93" s="23">
        <f>+BL$7*3410.5</f>
        <v>1364.2</v>
      </c>
      <c r="BM93" s="92"/>
      <c r="BN93" s="69">
        <f t="shared" ref="BN93:BN101" si="44">SUM(C93:H93)+SUM(BA93:BL93)</f>
        <v>306675.04399999994</v>
      </c>
    </row>
    <row r="94" spans="1:66">
      <c r="A94" s="33" t="s">
        <v>26</v>
      </c>
      <c r="B94" s="33" t="s">
        <v>34</v>
      </c>
      <c r="C94" s="25"/>
      <c r="D94" s="25">
        <f>SUM(J94:M94)</f>
        <v>1711.6415999999999</v>
      </c>
      <c r="E94" s="166">
        <f t="shared" si="41"/>
        <v>10697.759999999998</v>
      </c>
      <c r="F94" s="25">
        <f>SUM(AR94:AY94)</f>
        <v>2032.5744</v>
      </c>
      <c r="G94" s="25">
        <f>+G$7*8.74*2*1.02*12</f>
        <v>748.84320000000002</v>
      </c>
      <c r="H94" s="25">
        <f>+H$7*8.74*2*1.02*12</f>
        <v>427.91039999999998</v>
      </c>
      <c r="I94" s="178"/>
      <c r="J94" s="25">
        <f t="shared" ref="J94:AY94" si="45">+J$7*8.74*2*1.02*12</f>
        <v>427.91039999999998</v>
      </c>
      <c r="K94" s="25">
        <f t="shared" si="45"/>
        <v>427.91039999999998</v>
      </c>
      <c r="L94" s="25">
        <f t="shared" si="45"/>
        <v>427.91039999999998</v>
      </c>
      <c r="M94" s="25">
        <f t="shared" si="45"/>
        <v>427.91039999999998</v>
      </c>
      <c r="N94" s="25">
        <f t="shared" si="45"/>
        <v>427.91039999999998</v>
      </c>
      <c r="O94" s="25">
        <f t="shared" si="45"/>
        <v>427.91039999999998</v>
      </c>
      <c r="P94" s="25">
        <f t="shared" si="45"/>
        <v>427.91039999999998</v>
      </c>
      <c r="Q94" s="25">
        <f t="shared" si="45"/>
        <v>427.91039999999998</v>
      </c>
      <c r="R94" s="25">
        <f t="shared" si="45"/>
        <v>427.91039999999998</v>
      </c>
      <c r="S94" s="25">
        <f t="shared" si="45"/>
        <v>427.91039999999998</v>
      </c>
      <c r="T94" s="25">
        <f t="shared" si="45"/>
        <v>427.91039999999998</v>
      </c>
      <c r="U94" s="25">
        <f t="shared" si="45"/>
        <v>427.91039999999998</v>
      </c>
      <c r="V94" s="25">
        <f t="shared" si="45"/>
        <v>213.95519999999999</v>
      </c>
      <c r="W94" s="25">
        <f t="shared" si="45"/>
        <v>427.91039999999998</v>
      </c>
      <c r="X94" s="25">
        <f t="shared" si="45"/>
        <v>427.91039999999998</v>
      </c>
      <c r="Y94" s="25">
        <f t="shared" si="45"/>
        <v>427.91039999999998</v>
      </c>
      <c r="Z94" s="25">
        <f t="shared" si="45"/>
        <v>427.91039999999998</v>
      </c>
      <c r="AA94" s="25">
        <f t="shared" si="45"/>
        <v>213.95519999999999</v>
      </c>
      <c r="AB94" s="25">
        <f t="shared" si="45"/>
        <v>320.93279999999999</v>
      </c>
      <c r="AC94" s="25">
        <f t="shared" si="45"/>
        <v>320.93279999999999</v>
      </c>
      <c r="AD94" s="25">
        <f t="shared" si="45"/>
        <v>320.93279999999999</v>
      </c>
      <c r="AE94" s="25">
        <f t="shared" si="45"/>
        <v>320.93279999999999</v>
      </c>
      <c r="AF94" s="25">
        <f t="shared" si="45"/>
        <v>213.95519999999999</v>
      </c>
      <c r="AG94" s="25">
        <f t="shared" si="45"/>
        <v>213.95519999999999</v>
      </c>
      <c r="AH94" s="25">
        <f t="shared" si="45"/>
        <v>213.95519999999999</v>
      </c>
      <c r="AI94" s="25">
        <f t="shared" si="45"/>
        <v>213.95519999999999</v>
      </c>
      <c r="AJ94" s="25">
        <f t="shared" si="45"/>
        <v>213.95519999999999</v>
      </c>
      <c r="AK94" s="25">
        <f t="shared" si="45"/>
        <v>213.95519999999999</v>
      </c>
      <c r="AL94" s="25">
        <f t="shared" si="45"/>
        <v>534.88800000000003</v>
      </c>
      <c r="AM94" s="25">
        <f t="shared" si="45"/>
        <v>641.86559999999997</v>
      </c>
      <c r="AN94" s="25">
        <f t="shared" si="45"/>
        <v>427.91039999999998</v>
      </c>
      <c r="AO94" s="25">
        <f t="shared" si="45"/>
        <v>213.95519999999999</v>
      </c>
      <c r="AP94" s="25">
        <f t="shared" si="45"/>
        <v>641.86559999999997</v>
      </c>
      <c r="AQ94" s="25">
        <f t="shared" si="45"/>
        <v>106.9776</v>
      </c>
      <c r="AR94" s="25">
        <f t="shared" si="45"/>
        <v>320.93279999999999</v>
      </c>
      <c r="AS94" s="25">
        <f t="shared" si="45"/>
        <v>213.95519999999999</v>
      </c>
      <c r="AT94" s="25">
        <f t="shared" si="45"/>
        <v>213.95519999999999</v>
      </c>
      <c r="AU94" s="25">
        <f t="shared" si="45"/>
        <v>213.95519999999999</v>
      </c>
      <c r="AV94" s="25">
        <f t="shared" si="45"/>
        <v>213.95519999999999</v>
      </c>
      <c r="AW94" s="25">
        <f t="shared" si="45"/>
        <v>320.93279999999999</v>
      </c>
      <c r="AX94" s="25">
        <f t="shared" si="45"/>
        <v>213.95519999999999</v>
      </c>
      <c r="AY94" s="25">
        <f t="shared" si="45"/>
        <v>320.93279999999999</v>
      </c>
      <c r="AZ94" s="92"/>
      <c r="BA94" s="23">
        <f t="shared" ref="BA94:BF94" si="46">+BA$7*8.74*2*1.02*12*0.67</f>
        <v>57.339993600000014</v>
      </c>
      <c r="BB94" s="23">
        <f t="shared" si="46"/>
        <v>143.34998400000001</v>
      </c>
      <c r="BC94" s="23">
        <f t="shared" si="46"/>
        <v>143.34998400000001</v>
      </c>
      <c r="BD94" s="23">
        <f t="shared" si="46"/>
        <v>143.34998400000001</v>
      </c>
      <c r="BE94" s="23">
        <f t="shared" si="46"/>
        <v>200.68997760000002</v>
      </c>
      <c r="BF94" s="23">
        <f t="shared" si="46"/>
        <v>57.339993600000014</v>
      </c>
      <c r="BG94" s="23"/>
      <c r="BH94" s="23"/>
      <c r="BI94" s="23">
        <f>+BI$7*8.74*2*1.02*12*0.67</f>
        <v>716.74992000000009</v>
      </c>
      <c r="BJ94" s="23">
        <f>+BJ$7*8.74*2*1.02*12*0.67</f>
        <v>0</v>
      </c>
      <c r="BK94" s="23">
        <f>+BK$7*8.74*2*1.02*12*0.67</f>
        <v>573.39993600000003</v>
      </c>
      <c r="BL94" s="23">
        <f>+BL$7*8.74*2*1.02*12*0.67</f>
        <v>57.339993600000014</v>
      </c>
      <c r="BM94" s="92"/>
      <c r="BN94" s="69">
        <f t="shared" si="44"/>
        <v>17711.639366399999</v>
      </c>
    </row>
    <row r="95" spans="1:66">
      <c r="A95" s="33" t="s">
        <v>28</v>
      </c>
      <c r="B95" s="33" t="s">
        <v>27</v>
      </c>
      <c r="C95" s="25"/>
      <c r="D95" s="25">
        <f>(+D$88-D$84+D$80)*0.062</f>
        <v>18747.316091453053</v>
      </c>
      <c r="E95" s="166">
        <f t="shared" si="41"/>
        <v>119010.65550380672</v>
      </c>
      <c r="F95" s="25">
        <f>(+F$88-F$84+F$80)*0.062</f>
        <v>24553.415894378137</v>
      </c>
      <c r="G95" s="25">
        <f>(+G$88-G$84+G$80)*0.062</f>
        <v>9613.5675294459998</v>
      </c>
      <c r="H95" s="25">
        <f>(+H$88-H$84+H$80)*0.062</f>
        <v>7284.9878425930056</v>
      </c>
      <c r="I95" s="178"/>
      <c r="J95" s="25">
        <f t="shared" ref="J95:AY95" si="47">(+J$88-J$84+J$80)*0.062</f>
        <v>5376.6299913627099</v>
      </c>
      <c r="K95" s="25">
        <f t="shared" si="47"/>
        <v>4586.4992056511701</v>
      </c>
      <c r="L95" s="25">
        <f t="shared" si="47"/>
        <v>4542.5524796227</v>
      </c>
      <c r="M95" s="25">
        <f t="shared" si="47"/>
        <v>4241.6344148164744</v>
      </c>
      <c r="N95" s="25">
        <f t="shared" si="47"/>
        <v>4260.6706865541737</v>
      </c>
      <c r="O95" s="25">
        <f t="shared" si="47"/>
        <v>4868.4100355479732</v>
      </c>
      <c r="P95" s="25">
        <f t="shared" si="47"/>
        <v>4503.1717543895893</v>
      </c>
      <c r="Q95" s="25">
        <f t="shared" si="47"/>
        <v>4499.4522802198244</v>
      </c>
      <c r="R95" s="25">
        <f t="shared" si="47"/>
        <v>3959.4908662649991</v>
      </c>
      <c r="S95" s="25">
        <f t="shared" si="47"/>
        <v>4524.4992056511701</v>
      </c>
      <c r="T95" s="25">
        <f t="shared" si="47"/>
        <v>4404.6893616243988</v>
      </c>
      <c r="U95" s="25">
        <f t="shared" si="47"/>
        <v>3920.8561128320757</v>
      </c>
      <c r="V95" s="25">
        <f t="shared" si="47"/>
        <v>2901.6801101473584</v>
      </c>
      <c r="W95" s="25">
        <f t="shared" si="47"/>
        <v>4023.6074264306239</v>
      </c>
      <c r="X95" s="25">
        <f t="shared" si="47"/>
        <v>4026.2763832170381</v>
      </c>
      <c r="Y95" s="25">
        <f t="shared" si="47"/>
        <v>4168.8561128320762</v>
      </c>
      <c r="Z95" s="25">
        <f t="shared" si="47"/>
        <v>4379.1717543895893</v>
      </c>
      <c r="AA95" s="25">
        <f t="shared" si="47"/>
        <v>2761.8609019843989</v>
      </c>
      <c r="AB95" s="25">
        <f t="shared" si="47"/>
        <v>3486.510501421656</v>
      </c>
      <c r="AC95" s="25">
        <f t="shared" si="47"/>
        <v>3867.5924366154309</v>
      </c>
      <c r="AD95" s="25">
        <f t="shared" si="47"/>
        <v>3760.193196610624</v>
      </c>
      <c r="AE95" s="25">
        <f t="shared" si="47"/>
        <v>3831.2751318043988</v>
      </c>
      <c r="AF95" s="25">
        <f t="shared" si="47"/>
        <v>2994.6801101473584</v>
      </c>
      <c r="AG95" s="25">
        <f t="shared" si="47"/>
        <v>3713.3233069010425</v>
      </c>
      <c r="AH95" s="25">
        <f t="shared" si="47"/>
        <v>3686.9620959843992</v>
      </c>
      <c r="AI95" s="25">
        <f t="shared" si="47"/>
        <v>3009.8609019843989</v>
      </c>
      <c r="AJ95" s="25">
        <f t="shared" si="47"/>
        <v>2965.5839999999998</v>
      </c>
      <c r="AK95" s="25">
        <f t="shared" si="47"/>
        <v>2564.6624066249997</v>
      </c>
      <c r="AL95" s="25">
        <f t="shared" si="47"/>
        <v>6341.8712686093986</v>
      </c>
      <c r="AM95" s="25">
        <f t="shared" si="47"/>
        <v>7812.5545239747771</v>
      </c>
      <c r="AN95" s="25">
        <f t="shared" si="47"/>
        <v>4682.5909334355929</v>
      </c>
      <c r="AO95" s="25">
        <f t="shared" si="47"/>
        <v>2628.7789667906241</v>
      </c>
      <c r="AP95" s="25">
        <f t="shared" si="47"/>
        <v>5394.7727803417583</v>
      </c>
      <c r="AQ95" s="25">
        <f t="shared" si="47"/>
        <v>1066.7499504749997</v>
      </c>
      <c r="AR95" s="25">
        <f t="shared" si="47"/>
        <v>3849.3202667906244</v>
      </c>
      <c r="AS95" s="25">
        <f t="shared" si="47"/>
        <v>2628.7789667906241</v>
      </c>
      <c r="AT95" s="25">
        <f t="shared" si="47"/>
        <v>2694.4984409603894</v>
      </c>
      <c r="AU95" s="25">
        <f t="shared" si="47"/>
        <v>2628.7789667906241</v>
      </c>
      <c r="AV95" s="25">
        <f t="shared" si="47"/>
        <v>3033.4119999999998</v>
      </c>
      <c r="AW95" s="25">
        <f t="shared" si="47"/>
        <v>4041.7476614405837</v>
      </c>
      <c r="AX95" s="25">
        <f t="shared" si="47"/>
        <v>1921.4075082099798</v>
      </c>
      <c r="AY95" s="25">
        <f t="shared" si="47"/>
        <v>3755.4720833953124</v>
      </c>
      <c r="AZ95" s="92"/>
      <c r="BA95" s="23">
        <f t="shared" ref="BA95:BL95" si="48">(+BA$88-BA$84+BA$80)*0.062</f>
        <v>1586.2781498384113</v>
      </c>
      <c r="BB95" s="23">
        <f t="shared" si="48"/>
        <v>3271.9317597257254</v>
      </c>
      <c r="BC95" s="23">
        <f t="shared" si="48"/>
        <v>2811.035887</v>
      </c>
      <c r="BD95" s="23">
        <f t="shared" si="48"/>
        <v>3271.3329462724546</v>
      </c>
      <c r="BE95" s="23">
        <f t="shared" si="48"/>
        <v>3520.0411092000004</v>
      </c>
      <c r="BF95" s="23">
        <f t="shared" si="48"/>
        <v>1364</v>
      </c>
      <c r="BG95" s="23">
        <f t="shared" si="48"/>
        <v>1769.04972</v>
      </c>
      <c r="BH95" s="23">
        <f t="shared" si="48"/>
        <v>2419.878787878788</v>
      </c>
      <c r="BI95" s="23">
        <f t="shared" si="48"/>
        <v>7941.5234559999999</v>
      </c>
      <c r="BJ95" s="23">
        <f t="shared" si="48"/>
        <v>0</v>
      </c>
      <c r="BK95" s="23">
        <f t="shared" si="48"/>
        <v>6304.1793749999997</v>
      </c>
      <c r="BL95" s="23">
        <f t="shared" si="48"/>
        <v>1081.5748887441166</v>
      </c>
      <c r="BM95" s="92"/>
      <c r="BN95" s="69">
        <f t="shared" si="44"/>
        <v>214550.76894133637</v>
      </c>
    </row>
    <row r="96" spans="1:66">
      <c r="A96" s="33" t="s">
        <v>30</v>
      </c>
      <c r="B96" s="33" t="s">
        <v>29</v>
      </c>
      <c r="C96" s="25"/>
      <c r="D96" s="25">
        <f>(+D$88-D$84+D$80)*0.0145</f>
        <v>4384.4529568720855</v>
      </c>
      <c r="E96" s="166">
        <f t="shared" si="41"/>
        <v>27833.137174277384</v>
      </c>
      <c r="F96" s="25">
        <f>(+F$88-F$84+F$80)*0.0145</f>
        <v>5742.3311365884356</v>
      </c>
      <c r="G96" s="25">
        <f>(+G$88-G$84+G$80)*0.0145</f>
        <v>2248.3343415639838</v>
      </c>
      <c r="H96" s="25">
        <f>(+H$88-H$84+H$80)*0.0145</f>
        <v>1703.7471567354612</v>
      </c>
      <c r="I96" s="178"/>
      <c r="J96" s="25">
        <f t="shared" ref="J96:AY96" si="49">(+J$88-J$84+J$80)*0.0145</f>
        <v>1257.4376592703113</v>
      </c>
      <c r="K96" s="25">
        <f t="shared" si="49"/>
        <v>1072.6490077732576</v>
      </c>
      <c r="L96" s="25">
        <f t="shared" si="49"/>
        <v>1062.3711444278895</v>
      </c>
      <c r="M96" s="25">
        <f t="shared" si="49"/>
        <v>991.99514540062717</v>
      </c>
      <c r="N96" s="25">
        <f t="shared" si="49"/>
        <v>996.44717669412137</v>
      </c>
      <c r="O96" s="25">
        <f t="shared" si="49"/>
        <v>1138.579766378155</v>
      </c>
      <c r="P96" s="25">
        <f t="shared" si="49"/>
        <v>1053.1611361072426</v>
      </c>
      <c r="Q96" s="25">
        <f t="shared" si="49"/>
        <v>1052.2912590836686</v>
      </c>
      <c r="R96" s="25">
        <f t="shared" si="49"/>
        <v>926.00996065874983</v>
      </c>
      <c r="S96" s="25">
        <f t="shared" si="49"/>
        <v>1058.1490077732576</v>
      </c>
      <c r="T96" s="25">
        <f t="shared" si="49"/>
        <v>1030.1289636057061</v>
      </c>
      <c r="U96" s="25">
        <f t="shared" si="49"/>
        <v>916.974413484921</v>
      </c>
      <c r="V96" s="25">
        <f t="shared" si="49"/>
        <v>678.61873543768877</v>
      </c>
      <c r="W96" s="25">
        <f t="shared" si="49"/>
        <v>941.0049626329685</v>
      </c>
      <c r="X96" s="25">
        <f t="shared" si="49"/>
        <v>941.62915413946871</v>
      </c>
      <c r="Y96" s="25">
        <f t="shared" si="49"/>
        <v>974.974413484921</v>
      </c>
      <c r="Z96" s="25">
        <f t="shared" si="49"/>
        <v>1024.1611361072426</v>
      </c>
      <c r="AA96" s="25">
        <f t="shared" si="49"/>
        <v>645.91908191570622</v>
      </c>
      <c r="AB96" s="25">
        <f t="shared" si="49"/>
        <v>815.39358500990352</v>
      </c>
      <c r="AC96" s="25">
        <f t="shared" si="49"/>
        <v>904.51758598264109</v>
      </c>
      <c r="AD96" s="25">
        <f t="shared" si="49"/>
        <v>879.40002178796863</v>
      </c>
      <c r="AE96" s="25">
        <f t="shared" si="49"/>
        <v>896.0240227607062</v>
      </c>
      <c r="AF96" s="25">
        <f t="shared" si="49"/>
        <v>700.36873543768877</v>
      </c>
      <c r="AG96" s="25">
        <f t="shared" si="49"/>
        <v>868.43851532363101</v>
      </c>
      <c r="AH96" s="25">
        <f t="shared" si="49"/>
        <v>862.27339341570621</v>
      </c>
      <c r="AI96" s="25">
        <f t="shared" si="49"/>
        <v>703.91908191570622</v>
      </c>
      <c r="AJ96" s="25">
        <f t="shared" si="49"/>
        <v>693.56400000000008</v>
      </c>
      <c r="AK96" s="25">
        <f t="shared" si="49"/>
        <v>599.80007896874997</v>
      </c>
      <c r="AL96" s="25">
        <f t="shared" si="49"/>
        <v>1483.1795708844561</v>
      </c>
      <c r="AM96" s="25">
        <f t="shared" si="49"/>
        <v>1827.1296870586175</v>
      </c>
      <c r="AN96" s="25">
        <f t="shared" si="49"/>
        <v>1095.1220731421952</v>
      </c>
      <c r="AO96" s="25">
        <f t="shared" si="49"/>
        <v>614.79508094296864</v>
      </c>
      <c r="AP96" s="25">
        <f t="shared" si="49"/>
        <v>1261.680730886379</v>
      </c>
      <c r="AQ96" s="25">
        <f t="shared" si="49"/>
        <v>249.48184325624996</v>
      </c>
      <c r="AR96" s="25">
        <f t="shared" si="49"/>
        <v>900.24425594296861</v>
      </c>
      <c r="AS96" s="25">
        <f t="shared" si="49"/>
        <v>614.79508094296864</v>
      </c>
      <c r="AT96" s="25">
        <f t="shared" si="49"/>
        <v>630.16495796654272</v>
      </c>
      <c r="AU96" s="25">
        <f t="shared" si="49"/>
        <v>614.79508094296864</v>
      </c>
      <c r="AV96" s="25">
        <f t="shared" si="49"/>
        <v>709.42700000000002</v>
      </c>
      <c r="AW96" s="25">
        <f t="shared" si="49"/>
        <v>945.24743694981407</v>
      </c>
      <c r="AX96" s="25">
        <f t="shared" si="49"/>
        <v>449.36143337168886</v>
      </c>
      <c r="AY96" s="25">
        <f t="shared" si="49"/>
        <v>878.29589047148443</v>
      </c>
      <c r="AZ96" s="92"/>
      <c r="BA96" s="23">
        <f t="shared" ref="BA96:BL96" si="50">(+BA$88-BA$84+BA$80)*0.0145</f>
        <v>370.98440601059622</v>
      </c>
      <c r="BB96" s="23">
        <f t="shared" si="50"/>
        <v>765.20984703262934</v>
      </c>
      <c r="BC96" s="23">
        <f t="shared" si="50"/>
        <v>657.41968325000005</v>
      </c>
      <c r="BD96" s="23">
        <f t="shared" si="50"/>
        <v>765.0698019508161</v>
      </c>
      <c r="BE96" s="23">
        <f t="shared" si="50"/>
        <v>823.23542070000019</v>
      </c>
      <c r="BF96" s="23">
        <f t="shared" si="50"/>
        <v>319</v>
      </c>
      <c r="BG96" s="23">
        <f t="shared" si="50"/>
        <v>413.72937000000002</v>
      </c>
      <c r="BH96" s="23">
        <f t="shared" si="50"/>
        <v>565.93939393939399</v>
      </c>
      <c r="BI96" s="23">
        <f t="shared" si="50"/>
        <v>1857.2917760000003</v>
      </c>
      <c r="BJ96" s="23">
        <f t="shared" si="50"/>
        <v>0</v>
      </c>
      <c r="BK96" s="23">
        <f t="shared" si="50"/>
        <v>1474.36453125</v>
      </c>
      <c r="BL96" s="23">
        <f t="shared" si="50"/>
        <v>252.94896591596279</v>
      </c>
      <c r="BM96" s="92"/>
      <c r="BN96" s="69">
        <f t="shared" si="44"/>
        <v>50177.195962086742</v>
      </c>
    </row>
    <row r="97" spans="1:66">
      <c r="A97" s="33" t="s">
        <v>31</v>
      </c>
      <c r="B97" s="33" t="s">
        <v>32</v>
      </c>
      <c r="C97" s="25"/>
      <c r="D97" s="25">
        <f>(+D$88-D$84+D$80)*0.06</f>
        <v>18142.563959470695</v>
      </c>
      <c r="E97" s="166">
        <f t="shared" si="41"/>
        <v>115171.60210045814</v>
      </c>
      <c r="F97" s="25">
        <f>(+F$88-F$84+F$80)*0.06</f>
        <v>23761.370220365938</v>
      </c>
      <c r="G97" s="25">
        <f>(+G$88-G$84+G$80)*0.06</f>
        <v>9303.4524478509666</v>
      </c>
      <c r="H97" s="25">
        <f>(+H$88-H$84+H$80)*0.06</f>
        <v>7049.9882347674247</v>
      </c>
      <c r="I97" s="178"/>
      <c r="J97" s="25">
        <f t="shared" ref="J97:AC97" si="51">(+J$88-J$84+J$80)*0.06</f>
        <v>5203.1903142219771</v>
      </c>
      <c r="K97" s="25">
        <f t="shared" si="51"/>
        <v>4438.5476183720994</v>
      </c>
      <c r="L97" s="25">
        <f t="shared" si="51"/>
        <v>4396.0185286671285</v>
      </c>
      <c r="M97" s="25">
        <f t="shared" si="51"/>
        <v>4104.8074982094913</v>
      </c>
      <c r="N97" s="25">
        <f t="shared" si="51"/>
        <v>4123.2296966653294</v>
      </c>
      <c r="O97" s="25">
        <f t="shared" si="51"/>
        <v>4711.3645505302966</v>
      </c>
      <c r="P97" s="25">
        <f t="shared" si="51"/>
        <v>4357.9081494092798</v>
      </c>
      <c r="Q97" s="25">
        <f t="shared" si="51"/>
        <v>4354.3086582772494</v>
      </c>
      <c r="R97" s="25">
        <f t="shared" si="51"/>
        <v>3831.765354449999</v>
      </c>
      <c r="S97" s="25">
        <f t="shared" si="51"/>
        <v>4378.5476183720994</v>
      </c>
      <c r="T97" s="25">
        <f t="shared" si="51"/>
        <v>4262.6026080236115</v>
      </c>
      <c r="U97" s="25">
        <f t="shared" si="51"/>
        <v>3794.3768833858799</v>
      </c>
      <c r="V97" s="25">
        <f t="shared" si="51"/>
        <v>2808.0775259490565</v>
      </c>
      <c r="W97" s="25">
        <f t="shared" si="51"/>
        <v>3893.8136384812487</v>
      </c>
      <c r="X97" s="25">
        <f t="shared" si="51"/>
        <v>3896.3964998874562</v>
      </c>
      <c r="Y97" s="25">
        <f t="shared" si="51"/>
        <v>4034.3768833858799</v>
      </c>
      <c r="Z97" s="25">
        <f t="shared" si="51"/>
        <v>4237.9081494092798</v>
      </c>
      <c r="AA97" s="25">
        <f t="shared" si="51"/>
        <v>2672.7686148236116</v>
      </c>
      <c r="AB97" s="25">
        <f t="shared" si="51"/>
        <v>3374.0424207306351</v>
      </c>
      <c r="AC97" s="25">
        <f t="shared" si="51"/>
        <v>3742.8313902729974</v>
      </c>
      <c r="AD97" s="25">
        <f t="shared" ref="AD97:AY97" si="52">(+AD$88-AD$84+AD$80)*0.06</f>
        <v>3638.8966418812488</v>
      </c>
      <c r="AE97" s="25">
        <f t="shared" si="52"/>
        <v>3707.6856114236116</v>
      </c>
      <c r="AF97" s="25">
        <f t="shared" si="52"/>
        <v>2898.0775259490565</v>
      </c>
      <c r="AG97" s="25">
        <f t="shared" si="52"/>
        <v>3593.5386840977831</v>
      </c>
      <c r="AH97" s="25">
        <f t="shared" si="52"/>
        <v>3568.027834823612</v>
      </c>
      <c r="AI97" s="25">
        <f t="shared" si="52"/>
        <v>2912.7686148236116</v>
      </c>
      <c r="AJ97" s="25">
        <f t="shared" si="52"/>
        <v>2869.92</v>
      </c>
      <c r="AK97" s="25">
        <f t="shared" si="52"/>
        <v>2481.9313612499996</v>
      </c>
      <c r="AL97" s="25">
        <f t="shared" si="52"/>
        <v>6137.2947760736115</v>
      </c>
      <c r="AM97" s="25">
        <f t="shared" si="52"/>
        <v>7560.5366361046226</v>
      </c>
      <c r="AN97" s="25">
        <f t="shared" si="52"/>
        <v>4531.5396130021863</v>
      </c>
      <c r="AO97" s="25">
        <f t="shared" si="52"/>
        <v>2543.9796452812493</v>
      </c>
      <c r="AP97" s="25">
        <f t="shared" si="52"/>
        <v>5220.7478519436372</v>
      </c>
      <c r="AQ97" s="25">
        <f t="shared" si="52"/>
        <v>1032.3386617499998</v>
      </c>
      <c r="AR97" s="25">
        <f t="shared" si="52"/>
        <v>3725.1486452812492</v>
      </c>
      <c r="AS97" s="25">
        <f t="shared" si="52"/>
        <v>2543.9796452812493</v>
      </c>
      <c r="AT97" s="25">
        <f t="shared" si="52"/>
        <v>2607.5791364132801</v>
      </c>
      <c r="AU97" s="25">
        <f t="shared" si="52"/>
        <v>2543.9796452812493</v>
      </c>
      <c r="AV97" s="25">
        <f t="shared" si="52"/>
        <v>2935.56</v>
      </c>
      <c r="AW97" s="25">
        <f t="shared" si="52"/>
        <v>3911.3687046199198</v>
      </c>
      <c r="AX97" s="25">
        <f t="shared" si="52"/>
        <v>1859.4266208483675</v>
      </c>
      <c r="AY97" s="25">
        <f t="shared" si="52"/>
        <v>3634.3278226406246</v>
      </c>
      <c r="AZ97" s="92"/>
      <c r="BA97" s="23">
        <f t="shared" ref="BA97:BL97" si="53">(+BA$88-BA$84+BA$80)*0.06*0.65</f>
        <v>997.82012651125876</v>
      </c>
      <c r="BB97" s="23">
        <f t="shared" si="53"/>
        <v>2058.1506230532787</v>
      </c>
      <c r="BC97" s="23">
        <f t="shared" si="53"/>
        <v>1768.2322515000001</v>
      </c>
      <c r="BD97" s="23">
        <f t="shared" si="53"/>
        <v>2057.7739500746088</v>
      </c>
      <c r="BE97" s="23">
        <f t="shared" si="53"/>
        <v>2214.2194074000004</v>
      </c>
      <c r="BF97" s="23">
        <f t="shared" si="53"/>
        <v>858</v>
      </c>
      <c r="BG97" s="23">
        <f t="shared" si="53"/>
        <v>1112.78934</v>
      </c>
      <c r="BH97" s="23">
        <f t="shared" si="53"/>
        <v>1522.1818181818182</v>
      </c>
      <c r="BI97" s="23">
        <f t="shared" si="53"/>
        <v>4995.474432</v>
      </c>
      <c r="BJ97" s="23">
        <f t="shared" si="53"/>
        <v>0</v>
      </c>
      <c r="BK97" s="23">
        <f t="shared" si="53"/>
        <v>3965.5321875</v>
      </c>
      <c r="BL97" s="23">
        <f t="shared" si="53"/>
        <v>680.34549453258956</v>
      </c>
      <c r="BM97" s="92"/>
      <c r="BN97" s="69">
        <f t="shared" si="44"/>
        <v>195659.4965936667</v>
      </c>
    </row>
    <row r="98" spans="1:66">
      <c r="A98" s="33" t="s">
        <v>36</v>
      </c>
      <c r="B98" s="33" t="s">
        <v>35</v>
      </c>
      <c r="C98" s="25"/>
      <c r="D98" s="25">
        <f>(+D$88-D$84+D$80)*0.0056</f>
        <v>1693.3059695505983</v>
      </c>
      <c r="E98" s="166">
        <f t="shared" si="41"/>
        <v>10749.349529376095</v>
      </c>
      <c r="F98" s="25">
        <f>(+F$88-F$84+F$80)*0.0056</f>
        <v>2217.7278872341544</v>
      </c>
      <c r="G98" s="25">
        <f>(+G$88-G$84+G$80)*0.0056</f>
        <v>868.32222846609022</v>
      </c>
      <c r="H98" s="25">
        <f>(+H$88-H$84+H$80)*0.0056</f>
        <v>657.99890191162638</v>
      </c>
      <c r="I98" s="178"/>
      <c r="J98" s="25">
        <f t="shared" ref="J98:AY98" si="54">(+J$88-J$84+J$80)*0.0056</f>
        <v>485.63109599405124</v>
      </c>
      <c r="K98" s="25">
        <f t="shared" si="54"/>
        <v>414.264444381396</v>
      </c>
      <c r="L98" s="25">
        <f t="shared" si="54"/>
        <v>410.29506267559873</v>
      </c>
      <c r="M98" s="25">
        <f t="shared" si="54"/>
        <v>383.11536649955252</v>
      </c>
      <c r="N98" s="25">
        <f t="shared" si="54"/>
        <v>384.83477168876408</v>
      </c>
      <c r="O98" s="25">
        <f t="shared" si="54"/>
        <v>439.72735804949434</v>
      </c>
      <c r="P98" s="25">
        <f t="shared" si="54"/>
        <v>406.73809394486608</v>
      </c>
      <c r="Q98" s="25">
        <f t="shared" si="54"/>
        <v>406.40214143920991</v>
      </c>
      <c r="R98" s="25">
        <f t="shared" si="54"/>
        <v>357.63143308199994</v>
      </c>
      <c r="S98" s="25">
        <f t="shared" si="54"/>
        <v>408.66444438139598</v>
      </c>
      <c r="T98" s="25">
        <f t="shared" si="54"/>
        <v>397.84291008220373</v>
      </c>
      <c r="U98" s="25">
        <f t="shared" si="54"/>
        <v>354.14184244934881</v>
      </c>
      <c r="V98" s="25">
        <f t="shared" si="54"/>
        <v>262.08723575524527</v>
      </c>
      <c r="W98" s="25">
        <f t="shared" si="54"/>
        <v>363.42260625824991</v>
      </c>
      <c r="X98" s="25">
        <f t="shared" si="54"/>
        <v>363.66367332282925</v>
      </c>
      <c r="Y98" s="25">
        <f t="shared" si="54"/>
        <v>376.54184244934879</v>
      </c>
      <c r="Z98" s="25">
        <f t="shared" si="54"/>
        <v>395.53809394486609</v>
      </c>
      <c r="AA98" s="25">
        <f t="shared" si="54"/>
        <v>249.45840405020377</v>
      </c>
      <c r="AB98" s="25">
        <f t="shared" si="54"/>
        <v>314.9106259348593</v>
      </c>
      <c r="AC98" s="25">
        <f t="shared" si="54"/>
        <v>349.33092975881311</v>
      </c>
      <c r="AD98" s="25">
        <f t="shared" si="54"/>
        <v>339.6303532422499</v>
      </c>
      <c r="AE98" s="25">
        <f t="shared" si="54"/>
        <v>346.05065706620377</v>
      </c>
      <c r="AF98" s="25">
        <f t="shared" si="54"/>
        <v>270.48723575524531</v>
      </c>
      <c r="AG98" s="25">
        <f t="shared" si="54"/>
        <v>335.39694384912644</v>
      </c>
      <c r="AH98" s="25">
        <f t="shared" si="54"/>
        <v>333.01593125020378</v>
      </c>
      <c r="AI98" s="25">
        <f t="shared" si="54"/>
        <v>271.85840405020377</v>
      </c>
      <c r="AJ98" s="25">
        <f t="shared" si="54"/>
        <v>267.85919999999999</v>
      </c>
      <c r="AK98" s="25">
        <f t="shared" si="54"/>
        <v>231.64692704999996</v>
      </c>
      <c r="AL98" s="25">
        <f t="shared" si="54"/>
        <v>572.81417910020377</v>
      </c>
      <c r="AM98" s="25">
        <f t="shared" si="54"/>
        <v>705.6500860364315</v>
      </c>
      <c r="AN98" s="25">
        <f t="shared" si="54"/>
        <v>422.9436972135374</v>
      </c>
      <c r="AO98" s="25">
        <f t="shared" si="54"/>
        <v>237.43810022624993</v>
      </c>
      <c r="AP98" s="25">
        <f t="shared" si="54"/>
        <v>487.26979951473947</v>
      </c>
      <c r="AQ98" s="25">
        <f t="shared" si="54"/>
        <v>96.35160842999997</v>
      </c>
      <c r="AR98" s="25">
        <f t="shared" si="54"/>
        <v>347.68054022624995</v>
      </c>
      <c r="AS98" s="25">
        <f t="shared" si="54"/>
        <v>237.43810022624993</v>
      </c>
      <c r="AT98" s="25">
        <f t="shared" si="54"/>
        <v>243.37405273190615</v>
      </c>
      <c r="AU98" s="25">
        <f t="shared" si="54"/>
        <v>237.43810022624993</v>
      </c>
      <c r="AV98" s="25">
        <f t="shared" si="54"/>
        <v>273.98559999999998</v>
      </c>
      <c r="AW98" s="25">
        <f t="shared" si="54"/>
        <v>365.06107909785919</v>
      </c>
      <c r="AX98" s="25">
        <f t="shared" si="54"/>
        <v>173.54648461251429</v>
      </c>
      <c r="AY98" s="25">
        <f t="shared" si="54"/>
        <v>339.20393011312495</v>
      </c>
      <c r="AZ98" s="92"/>
      <c r="BA98" s="23">
        <f t="shared" ref="BA98:BL98" si="55">(+BA$88-BA$84+BA$80)*0.0056</f>
        <v>143.27673611443714</v>
      </c>
      <c r="BB98" s="23">
        <f t="shared" si="55"/>
        <v>295.52932023329134</v>
      </c>
      <c r="BC98" s="23">
        <f t="shared" si="55"/>
        <v>253.90001560000002</v>
      </c>
      <c r="BD98" s="23">
        <f t="shared" si="55"/>
        <v>295.47523385686691</v>
      </c>
      <c r="BE98" s="23">
        <f t="shared" si="55"/>
        <v>317.93919696000006</v>
      </c>
      <c r="BF98" s="23">
        <f t="shared" si="55"/>
        <v>123.2</v>
      </c>
      <c r="BG98" s="23">
        <f t="shared" si="55"/>
        <v>159.78513599999999</v>
      </c>
      <c r="BH98" s="23">
        <f t="shared" si="55"/>
        <v>218.56969696969696</v>
      </c>
      <c r="BI98" s="23">
        <f t="shared" si="55"/>
        <v>717.29889279999998</v>
      </c>
      <c r="BJ98" s="23">
        <f t="shared" si="55"/>
        <v>0</v>
      </c>
      <c r="BK98" s="23">
        <f t="shared" si="55"/>
        <v>569.40975000000003</v>
      </c>
      <c r="BL98" s="23">
        <f t="shared" si="55"/>
        <v>97.690635112371837</v>
      </c>
      <c r="BM98" s="92"/>
      <c r="BN98" s="69">
        <f t="shared" si="44"/>
        <v>19378.779130185227</v>
      </c>
    </row>
    <row r="99" spans="1:66">
      <c r="A99" s="33" t="s">
        <v>38</v>
      </c>
      <c r="B99" s="33" t="s">
        <v>37</v>
      </c>
      <c r="C99" s="25"/>
      <c r="D99" s="25">
        <f>+D$7*7700*0.0201</f>
        <v>1238.1600000000001</v>
      </c>
      <c r="E99" s="166">
        <f t="shared" si="41"/>
        <v>7738.5000000000036</v>
      </c>
      <c r="F99" s="25">
        <f>+F$7*7700*0.0201</f>
        <v>1470.3150000000001</v>
      </c>
      <c r="G99" s="25">
        <f>+G$7*7700*0.0201</f>
        <v>541.69500000000005</v>
      </c>
      <c r="H99" s="25">
        <f>+H$7*7700*0.0201</f>
        <v>309.54000000000002</v>
      </c>
      <c r="I99" s="178"/>
      <c r="J99" s="25">
        <f t="shared" ref="J99:AY99" si="56">+J$7*7700*0.0201</f>
        <v>309.54000000000002</v>
      </c>
      <c r="K99" s="25">
        <f t="shared" si="56"/>
        <v>309.54000000000002</v>
      </c>
      <c r="L99" s="25">
        <f t="shared" si="56"/>
        <v>309.54000000000002</v>
      </c>
      <c r="M99" s="25">
        <f t="shared" si="56"/>
        <v>309.54000000000002</v>
      </c>
      <c r="N99" s="25">
        <f t="shared" si="56"/>
        <v>309.54000000000002</v>
      </c>
      <c r="O99" s="25">
        <f t="shared" si="56"/>
        <v>309.54000000000002</v>
      </c>
      <c r="P99" s="25">
        <f t="shared" si="56"/>
        <v>309.54000000000002</v>
      </c>
      <c r="Q99" s="25">
        <f t="shared" si="56"/>
        <v>309.54000000000002</v>
      </c>
      <c r="R99" s="25">
        <f t="shared" si="56"/>
        <v>309.54000000000002</v>
      </c>
      <c r="S99" s="25">
        <f t="shared" si="56"/>
        <v>309.54000000000002</v>
      </c>
      <c r="T99" s="25">
        <f t="shared" si="56"/>
        <v>309.54000000000002</v>
      </c>
      <c r="U99" s="25">
        <f t="shared" si="56"/>
        <v>309.54000000000002</v>
      </c>
      <c r="V99" s="25">
        <f t="shared" si="56"/>
        <v>154.77000000000001</v>
      </c>
      <c r="W99" s="25">
        <f t="shared" si="56"/>
        <v>309.54000000000002</v>
      </c>
      <c r="X99" s="25">
        <f t="shared" si="56"/>
        <v>309.54000000000002</v>
      </c>
      <c r="Y99" s="25">
        <f t="shared" si="56"/>
        <v>309.54000000000002</v>
      </c>
      <c r="Z99" s="25">
        <f t="shared" si="56"/>
        <v>309.54000000000002</v>
      </c>
      <c r="AA99" s="25">
        <f t="shared" si="56"/>
        <v>154.77000000000001</v>
      </c>
      <c r="AB99" s="25">
        <f t="shared" si="56"/>
        <v>232.155</v>
      </c>
      <c r="AC99" s="25">
        <f t="shared" si="56"/>
        <v>232.155</v>
      </c>
      <c r="AD99" s="25">
        <f t="shared" si="56"/>
        <v>232.155</v>
      </c>
      <c r="AE99" s="25">
        <f t="shared" si="56"/>
        <v>232.155</v>
      </c>
      <c r="AF99" s="25">
        <f t="shared" si="56"/>
        <v>154.77000000000001</v>
      </c>
      <c r="AG99" s="25">
        <f t="shared" si="56"/>
        <v>154.77000000000001</v>
      </c>
      <c r="AH99" s="25">
        <f t="shared" si="56"/>
        <v>154.77000000000001</v>
      </c>
      <c r="AI99" s="25">
        <f t="shared" si="56"/>
        <v>154.77000000000001</v>
      </c>
      <c r="AJ99" s="25">
        <f t="shared" si="56"/>
        <v>154.77000000000001</v>
      </c>
      <c r="AK99" s="25">
        <f t="shared" si="56"/>
        <v>154.77000000000001</v>
      </c>
      <c r="AL99" s="25">
        <f t="shared" si="56"/>
        <v>386.92500000000001</v>
      </c>
      <c r="AM99" s="25">
        <f t="shared" si="56"/>
        <v>464.31</v>
      </c>
      <c r="AN99" s="25">
        <f t="shared" si="56"/>
        <v>309.54000000000002</v>
      </c>
      <c r="AO99" s="25">
        <f t="shared" si="56"/>
        <v>154.77000000000001</v>
      </c>
      <c r="AP99" s="25">
        <f t="shared" si="56"/>
        <v>464.31</v>
      </c>
      <c r="AQ99" s="25">
        <f t="shared" si="56"/>
        <v>77.385000000000005</v>
      </c>
      <c r="AR99" s="25">
        <f t="shared" si="56"/>
        <v>232.155</v>
      </c>
      <c r="AS99" s="25">
        <f t="shared" si="56"/>
        <v>154.77000000000001</v>
      </c>
      <c r="AT99" s="25">
        <f t="shared" si="56"/>
        <v>154.77000000000001</v>
      </c>
      <c r="AU99" s="25">
        <f t="shared" si="56"/>
        <v>154.77000000000001</v>
      </c>
      <c r="AV99" s="25">
        <f t="shared" si="56"/>
        <v>154.77000000000001</v>
      </c>
      <c r="AW99" s="25">
        <f t="shared" si="56"/>
        <v>232.155</v>
      </c>
      <c r="AX99" s="25">
        <f t="shared" si="56"/>
        <v>154.77000000000001</v>
      </c>
      <c r="AY99" s="25">
        <f t="shared" si="56"/>
        <v>232.155</v>
      </c>
      <c r="AZ99" s="92"/>
      <c r="BA99" s="23">
        <f t="shared" ref="BA99:BL99" si="57">+BA$7*7700*0.0201</f>
        <v>61.908000000000001</v>
      </c>
      <c r="BB99" s="23">
        <f t="shared" si="57"/>
        <v>154.77000000000001</v>
      </c>
      <c r="BC99" s="23">
        <f t="shared" si="57"/>
        <v>154.77000000000001</v>
      </c>
      <c r="BD99" s="23">
        <f t="shared" si="57"/>
        <v>154.77000000000001</v>
      </c>
      <c r="BE99" s="23">
        <f t="shared" si="57"/>
        <v>216.678</v>
      </c>
      <c r="BF99" s="23">
        <f t="shared" si="57"/>
        <v>61.908000000000001</v>
      </c>
      <c r="BG99" s="23">
        <f t="shared" si="57"/>
        <v>464.31</v>
      </c>
      <c r="BH99" s="23">
        <f t="shared" si="57"/>
        <v>619.08000000000004</v>
      </c>
      <c r="BI99" s="23">
        <f t="shared" si="57"/>
        <v>773.85</v>
      </c>
      <c r="BJ99" s="23">
        <f t="shared" si="57"/>
        <v>0</v>
      </c>
      <c r="BK99" s="23">
        <f t="shared" si="57"/>
        <v>619.08000000000004</v>
      </c>
      <c r="BL99" s="23">
        <f t="shared" si="57"/>
        <v>61.908000000000001</v>
      </c>
      <c r="BM99" s="92"/>
      <c r="BN99" s="69">
        <f t="shared" si="44"/>
        <v>14641.242000000004</v>
      </c>
    </row>
    <row r="100" spans="1:66">
      <c r="A100" s="33" t="s">
        <v>83</v>
      </c>
      <c r="B100" s="33" t="s">
        <v>84</v>
      </c>
      <c r="C100" s="25">
        <v>5000</v>
      </c>
      <c r="D100" s="25">
        <f>SUM(J100:M100)</f>
        <v>0</v>
      </c>
      <c r="E100" s="166">
        <f t="shared" si="41"/>
        <v>0</v>
      </c>
      <c r="F100" s="25">
        <f>SUM(AR100:AY100)</f>
        <v>0</v>
      </c>
      <c r="G100" s="25"/>
      <c r="H100" s="25"/>
      <c r="I100" s="178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92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92"/>
      <c r="BN100" s="69">
        <f t="shared" si="44"/>
        <v>5000</v>
      </c>
    </row>
    <row r="101" spans="1:66">
      <c r="A101" s="33" t="s">
        <v>39</v>
      </c>
      <c r="B101" s="33" t="s">
        <v>40</v>
      </c>
      <c r="C101" s="180"/>
      <c r="D101" s="180">
        <f>(+D$88-D$84+D$80)*(0.0024+0.0036+0.0013)</f>
        <v>2207.3452817356015</v>
      </c>
      <c r="E101" s="180">
        <f t="shared" si="41"/>
        <v>14012.544922222407</v>
      </c>
      <c r="F101" s="180">
        <f>(+F$88-F$84+F$80)*(0.0024+0.0036+0.0013)</f>
        <v>2890.9667101445225</v>
      </c>
      <c r="G101" s="180">
        <f>(+G$88-G$84+G$80)*(0.0024+0.0036+0.0013)</f>
        <v>1131.9200478218677</v>
      </c>
      <c r="H101" s="180">
        <f>(+H$88-H$84+H$80)*(0.0024+0.0036+0.0013)</f>
        <v>857.7485685633701</v>
      </c>
      <c r="I101" s="178"/>
      <c r="J101" s="180">
        <f t="shared" ref="J101:AY101" si="58">(+J$88-J$84+J$80)*(0.0024+0.0036+0.0013)</f>
        <v>633.05482156367395</v>
      </c>
      <c r="K101" s="180">
        <f t="shared" si="58"/>
        <v>540.02329356860548</v>
      </c>
      <c r="L101" s="180">
        <f t="shared" si="58"/>
        <v>534.84892098783405</v>
      </c>
      <c r="M101" s="180">
        <f t="shared" si="58"/>
        <v>499.41824561548816</v>
      </c>
      <c r="N101" s="180">
        <f t="shared" si="58"/>
        <v>501.65961309428172</v>
      </c>
      <c r="O101" s="180">
        <f t="shared" si="58"/>
        <v>573.21602031451937</v>
      </c>
      <c r="P101" s="180">
        <f t="shared" si="58"/>
        <v>530.21215817812902</v>
      </c>
      <c r="Q101" s="180">
        <f t="shared" si="58"/>
        <v>529.77422009039867</v>
      </c>
      <c r="R101" s="180">
        <f t="shared" si="58"/>
        <v>466.1981181247499</v>
      </c>
      <c r="S101" s="180">
        <f t="shared" si="58"/>
        <v>532.72329356860553</v>
      </c>
      <c r="T101" s="180">
        <f t="shared" si="58"/>
        <v>518.61665064287274</v>
      </c>
      <c r="U101" s="180">
        <f t="shared" si="58"/>
        <v>461.64918747861537</v>
      </c>
      <c r="V101" s="180">
        <f t="shared" si="58"/>
        <v>341.64943232380193</v>
      </c>
      <c r="W101" s="180">
        <f t="shared" si="58"/>
        <v>473.74732601521862</v>
      </c>
      <c r="X101" s="180">
        <f t="shared" si="58"/>
        <v>474.06157415297383</v>
      </c>
      <c r="Y101" s="180">
        <f t="shared" si="58"/>
        <v>490.84918747861542</v>
      </c>
      <c r="Z101" s="180">
        <f t="shared" si="58"/>
        <v>515.61215817812899</v>
      </c>
      <c r="AA101" s="180">
        <f t="shared" si="58"/>
        <v>325.18684813687275</v>
      </c>
      <c r="AB101" s="180">
        <f t="shared" si="58"/>
        <v>410.50849452222729</v>
      </c>
      <c r="AC101" s="180">
        <f t="shared" si="58"/>
        <v>455.37781914988136</v>
      </c>
      <c r="AD101" s="180">
        <f t="shared" si="58"/>
        <v>442.73242476221867</v>
      </c>
      <c r="AE101" s="180">
        <f t="shared" si="58"/>
        <v>451.10174938987274</v>
      </c>
      <c r="AF101" s="180">
        <f t="shared" si="58"/>
        <v>352.59943232380192</v>
      </c>
      <c r="AG101" s="180">
        <f t="shared" si="58"/>
        <v>437.21387323189697</v>
      </c>
      <c r="AH101" s="180">
        <f t="shared" si="58"/>
        <v>434.11005323687277</v>
      </c>
      <c r="AI101" s="180">
        <f t="shared" si="58"/>
        <v>354.3868481368728</v>
      </c>
      <c r="AJ101" s="180">
        <f t="shared" si="58"/>
        <v>349.17360000000002</v>
      </c>
      <c r="AK101" s="180">
        <f t="shared" si="58"/>
        <v>301.96831561874995</v>
      </c>
      <c r="AL101" s="180">
        <f t="shared" si="58"/>
        <v>746.70419775562277</v>
      </c>
      <c r="AM101" s="180">
        <f t="shared" si="58"/>
        <v>919.86529072606254</v>
      </c>
      <c r="AN101" s="180">
        <f t="shared" si="58"/>
        <v>551.33731958193266</v>
      </c>
      <c r="AO101" s="180">
        <f t="shared" si="58"/>
        <v>309.51752350921868</v>
      </c>
      <c r="AP101" s="180">
        <f t="shared" si="58"/>
        <v>635.19098865314254</v>
      </c>
      <c r="AQ101" s="180">
        <f t="shared" si="58"/>
        <v>125.60120384624997</v>
      </c>
      <c r="AR101" s="180">
        <f t="shared" si="58"/>
        <v>453.22641850921866</v>
      </c>
      <c r="AS101" s="180">
        <f t="shared" si="58"/>
        <v>309.51752350921868</v>
      </c>
      <c r="AT101" s="180">
        <f t="shared" si="58"/>
        <v>317.25546159694909</v>
      </c>
      <c r="AU101" s="180">
        <f t="shared" si="58"/>
        <v>309.51752350921868</v>
      </c>
      <c r="AV101" s="180">
        <f t="shared" si="58"/>
        <v>357.15980000000002</v>
      </c>
      <c r="AW101" s="180">
        <f t="shared" si="58"/>
        <v>475.88319239542358</v>
      </c>
      <c r="AX101" s="180">
        <f t="shared" si="58"/>
        <v>226.23023886988472</v>
      </c>
      <c r="AY101" s="180">
        <f t="shared" si="58"/>
        <v>442.17655175460936</v>
      </c>
      <c r="AZ101" s="92"/>
      <c r="BA101" s="22">
        <f t="shared" ref="BA101:BL101" si="59">(+BA$88-BA$84+BA$80)*(0.0024+0.0036+0.0013)</f>
        <v>186.77145957774843</v>
      </c>
      <c r="BB101" s="22">
        <f t="shared" si="59"/>
        <v>385.24357816125479</v>
      </c>
      <c r="BC101" s="22">
        <f t="shared" si="59"/>
        <v>330.97680604999999</v>
      </c>
      <c r="BD101" s="22">
        <f t="shared" si="59"/>
        <v>385.17307270627293</v>
      </c>
      <c r="BE101" s="22">
        <f t="shared" si="59"/>
        <v>414.45645318000004</v>
      </c>
      <c r="BF101" s="22">
        <f t="shared" si="59"/>
        <v>160.6</v>
      </c>
      <c r="BG101" s="22">
        <f t="shared" si="59"/>
        <v>208.29133800000002</v>
      </c>
      <c r="BH101" s="22">
        <f t="shared" si="59"/>
        <v>284.92121212121214</v>
      </c>
      <c r="BI101" s="22">
        <f t="shared" si="59"/>
        <v>935.05034239999998</v>
      </c>
      <c r="BJ101" s="22">
        <f t="shared" si="59"/>
        <v>0</v>
      </c>
      <c r="BK101" s="22">
        <f t="shared" si="59"/>
        <v>742.26628125000002</v>
      </c>
      <c r="BL101" s="22">
        <f t="shared" si="59"/>
        <v>127.34672077148471</v>
      </c>
      <c r="BM101" s="92"/>
      <c r="BN101" s="70">
        <f t="shared" si="44"/>
        <v>25261.622794705738</v>
      </c>
    </row>
    <row r="102" spans="1:66">
      <c r="B102" s="33" t="s">
        <v>235</v>
      </c>
      <c r="C102" s="25">
        <f t="shared" ref="C102:AY102" si="60">SUM(C93:C101)</f>
        <v>5000</v>
      </c>
      <c r="D102" s="25">
        <f t="shared" si="60"/>
        <v>76276.209859082024</v>
      </c>
      <c r="E102" s="25">
        <f t="shared" si="60"/>
        <v>481159.94923014072</v>
      </c>
      <c r="F102" s="25">
        <f t="shared" si="60"/>
        <v>96098.517248711185</v>
      </c>
      <c r="G102" s="25">
        <f t="shared" si="60"/>
        <v>36772.3827951489</v>
      </c>
      <c r="H102" s="25">
        <f t="shared" si="60"/>
        <v>25329.777104570887</v>
      </c>
      <c r="I102" s="178"/>
      <c r="J102" s="25">
        <f t="shared" si="60"/>
        <v>20731.250282412726</v>
      </c>
      <c r="K102" s="25">
        <f t="shared" si="60"/>
        <v>18827.289969746529</v>
      </c>
      <c r="L102" s="25">
        <f t="shared" si="60"/>
        <v>18721.392536381154</v>
      </c>
      <c r="M102" s="25">
        <f t="shared" si="60"/>
        <v>17996.277070541633</v>
      </c>
      <c r="N102" s="25">
        <f t="shared" si="60"/>
        <v>18042.14834469667</v>
      </c>
      <c r="O102" s="25">
        <f t="shared" si="60"/>
        <v>19506.604130820437</v>
      </c>
      <c r="P102" s="25">
        <f t="shared" si="60"/>
        <v>18626.497692029108</v>
      </c>
      <c r="Q102" s="25">
        <f t="shared" si="60"/>
        <v>18617.534959110348</v>
      </c>
      <c r="R102" s="25">
        <f t="shared" si="60"/>
        <v>17316.402132580497</v>
      </c>
      <c r="S102" s="25">
        <f t="shared" si="60"/>
        <v>18677.889969746528</v>
      </c>
      <c r="T102" s="25">
        <f t="shared" si="60"/>
        <v>18389.186893978793</v>
      </c>
      <c r="U102" s="25">
        <f t="shared" si="60"/>
        <v>17223.30483963084</v>
      </c>
      <c r="V102" s="25">
        <f t="shared" si="60"/>
        <v>10879.766239613151</v>
      </c>
      <c r="W102" s="25">
        <f t="shared" si="60"/>
        <v>17470.902359818308</v>
      </c>
      <c r="X102" s="25">
        <f t="shared" si="60"/>
        <v>17477.333684719764</v>
      </c>
      <c r="Y102" s="25">
        <f t="shared" si="60"/>
        <v>17820.904839630843</v>
      </c>
      <c r="Z102" s="25">
        <f t="shared" si="60"/>
        <v>18327.697692029109</v>
      </c>
      <c r="AA102" s="25">
        <f t="shared" si="60"/>
        <v>10542.847050910794</v>
      </c>
      <c r="AB102" s="25">
        <f t="shared" si="60"/>
        <v>14232.845427619282</v>
      </c>
      <c r="AC102" s="25">
        <f t="shared" si="60"/>
        <v>15151.129961779763</v>
      </c>
      <c r="AD102" s="25">
        <f t="shared" si="60"/>
        <v>14892.332438284309</v>
      </c>
      <c r="AE102" s="25">
        <f t="shared" si="60"/>
        <v>15063.616972444792</v>
      </c>
      <c r="AF102" s="25">
        <f t="shared" si="60"/>
        <v>11103.866239613151</v>
      </c>
      <c r="AG102" s="25">
        <f t="shared" si="60"/>
        <v>12835.564523403478</v>
      </c>
      <c r="AH102" s="25">
        <f t="shared" si="60"/>
        <v>12772.042508710794</v>
      </c>
      <c r="AI102" s="25">
        <f t="shared" si="60"/>
        <v>11140.447050910796</v>
      </c>
      <c r="AJ102" s="25">
        <f t="shared" si="60"/>
        <v>11033.754000000001</v>
      </c>
      <c r="AK102" s="25">
        <f t="shared" si="60"/>
        <v>10067.662289512498</v>
      </c>
      <c r="AL102" s="25">
        <f t="shared" si="60"/>
        <v>25000.99699242329</v>
      </c>
      <c r="AM102" s="25">
        <f t="shared" si="60"/>
        <v>30488.695823900511</v>
      </c>
      <c r="AN102" s="25">
        <f t="shared" si="60"/>
        <v>19058.840036375444</v>
      </c>
      <c r="AO102" s="25">
        <f t="shared" si="60"/>
        <v>10222.162516750312</v>
      </c>
      <c r="AP102" s="25">
        <f t="shared" si="60"/>
        <v>24662.621751339655</v>
      </c>
      <c r="AQ102" s="25">
        <f t="shared" si="60"/>
        <v>4514.3498677574989</v>
      </c>
      <c r="AR102" s="25">
        <f t="shared" si="60"/>
        <v>15107.099926750314</v>
      </c>
      <c r="AS102" s="25">
        <f t="shared" si="60"/>
        <v>10222.162516750312</v>
      </c>
      <c r="AT102" s="25">
        <f t="shared" si="60"/>
        <v>10380.525249669068</v>
      </c>
      <c r="AU102" s="25">
        <f t="shared" si="60"/>
        <v>10222.162516750312</v>
      </c>
      <c r="AV102" s="25">
        <f t="shared" si="60"/>
        <v>11197.1976</v>
      </c>
      <c r="AW102" s="25">
        <f t="shared" si="60"/>
        <v>15570.7878745036</v>
      </c>
      <c r="AX102" s="25">
        <f t="shared" si="60"/>
        <v>8517.6254859124347</v>
      </c>
      <c r="AY102" s="25">
        <f t="shared" si="60"/>
        <v>14880.956078375157</v>
      </c>
      <c r="AZ102" s="92"/>
      <c r="BA102" s="23">
        <f t="shared" ref="BA102:BF102" si="61">+SUM(BA93:BA101)</f>
        <v>4768.5788716524521</v>
      </c>
      <c r="BB102" s="25">
        <f t="shared" si="61"/>
        <v>10484.685112206178</v>
      </c>
      <c r="BC102" s="23">
        <f t="shared" si="61"/>
        <v>9530.1846274</v>
      </c>
      <c r="BD102" s="23">
        <f t="shared" si="61"/>
        <v>10483.44498886102</v>
      </c>
      <c r="BE102" s="23">
        <f t="shared" si="61"/>
        <v>12481.959565040001</v>
      </c>
      <c r="BF102" s="23">
        <f t="shared" si="61"/>
        <v>4308.2479936000009</v>
      </c>
      <c r="BG102" s="23">
        <f t="shared" ref="BG102:BL102" si="62">+SUM(BG93:BG101)</f>
        <v>4127.9549040000002</v>
      </c>
      <c r="BH102" s="23">
        <f t="shared" si="62"/>
        <v>5630.5709090909095</v>
      </c>
      <c r="BI102" s="23">
        <f t="shared" si="62"/>
        <v>34989.738819199993</v>
      </c>
      <c r="BJ102" s="23">
        <f t="shared" si="62"/>
        <v>0</v>
      </c>
      <c r="BK102" s="23">
        <f t="shared" si="62"/>
        <v>27890.232061000002</v>
      </c>
      <c r="BL102" s="23">
        <f t="shared" si="62"/>
        <v>3723.3546986765255</v>
      </c>
      <c r="BM102" s="92"/>
      <c r="BN102" s="56">
        <f>SUM(BN93:BN101)</f>
        <v>849055.7887883808</v>
      </c>
    </row>
    <row r="103" spans="1:66">
      <c r="C103" s="25"/>
      <c r="D103" s="25"/>
      <c r="E103" s="25"/>
      <c r="F103" s="25"/>
      <c r="G103" s="25"/>
      <c r="H103" s="25"/>
      <c r="I103" s="178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92"/>
      <c r="BA103" s="23"/>
      <c r="BB103" s="25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92"/>
    </row>
    <row r="104" spans="1:66" s="32" customFormat="1" ht="10.5">
      <c r="A104" s="37"/>
      <c r="B104" s="37" t="s">
        <v>236</v>
      </c>
      <c r="C104" s="56">
        <f t="shared" ref="C104:AY104" si="63">SUM(C90+C102)</f>
        <v>5000</v>
      </c>
      <c r="D104" s="56">
        <f t="shared" si="63"/>
        <v>379772.27585026028</v>
      </c>
      <c r="E104" s="56">
        <f t="shared" si="63"/>
        <v>2421966.6509044426</v>
      </c>
      <c r="F104" s="56">
        <f t="shared" si="63"/>
        <v>500521.3542548102</v>
      </c>
      <c r="G104" s="56">
        <f t="shared" si="63"/>
        <v>191829.92359266503</v>
      </c>
      <c r="H104" s="56">
        <f t="shared" si="63"/>
        <v>142829.58101736131</v>
      </c>
      <c r="I104" s="181"/>
      <c r="J104" s="56">
        <f t="shared" si="63"/>
        <v>107731.08885277902</v>
      </c>
      <c r="K104" s="56">
        <f t="shared" si="63"/>
        <v>93083.08360928153</v>
      </c>
      <c r="L104" s="56">
        <f t="shared" si="63"/>
        <v>92268.368014166641</v>
      </c>
      <c r="M104" s="56">
        <f t="shared" si="63"/>
        <v>86689.73537403316</v>
      </c>
      <c r="N104" s="56">
        <f t="shared" si="63"/>
        <v>87042.643289118831</v>
      </c>
      <c r="O104" s="56">
        <f t="shared" si="63"/>
        <v>98309.346639658703</v>
      </c>
      <c r="P104" s="56">
        <f t="shared" si="63"/>
        <v>91538.300182183768</v>
      </c>
      <c r="Q104" s="56">
        <f t="shared" si="63"/>
        <v>91469.345930397831</v>
      </c>
      <c r="R104" s="56">
        <f t="shared" si="63"/>
        <v>81459.158040080481</v>
      </c>
      <c r="S104" s="56">
        <f t="shared" si="63"/>
        <v>91933.683609281521</v>
      </c>
      <c r="T104" s="56">
        <f t="shared" si="63"/>
        <v>89712.563694372322</v>
      </c>
      <c r="U104" s="56">
        <f t="shared" si="63"/>
        <v>80742.919562728843</v>
      </c>
      <c r="V104" s="56">
        <f t="shared" si="63"/>
        <v>58731.058338764095</v>
      </c>
      <c r="W104" s="56">
        <f t="shared" si="63"/>
        <v>82647.796334505794</v>
      </c>
      <c r="X104" s="56">
        <f t="shared" si="63"/>
        <v>82697.275349510703</v>
      </c>
      <c r="Y104" s="56">
        <f t="shared" si="63"/>
        <v>85340.519562728849</v>
      </c>
      <c r="Z104" s="56">
        <f t="shared" si="63"/>
        <v>89239.500182183765</v>
      </c>
      <c r="AA104" s="56">
        <f t="shared" si="63"/>
        <v>56138.990631304325</v>
      </c>
      <c r="AB104" s="56">
        <f t="shared" si="63"/>
        <v>70746.885773129863</v>
      </c>
      <c r="AC104" s="56">
        <f t="shared" si="63"/>
        <v>77811.653132996391</v>
      </c>
      <c r="AD104" s="56">
        <f t="shared" si="63"/>
        <v>75820.609802971798</v>
      </c>
      <c r="AE104" s="56">
        <f t="shared" si="63"/>
        <v>77138.377162838326</v>
      </c>
      <c r="AF104" s="56">
        <f t="shared" si="63"/>
        <v>60455.1583387641</v>
      </c>
      <c r="AG104" s="56">
        <f t="shared" si="63"/>
        <v>73777.875925033193</v>
      </c>
      <c r="AH104" s="56">
        <f t="shared" si="63"/>
        <v>73289.173089104326</v>
      </c>
      <c r="AI104" s="56">
        <f t="shared" si="63"/>
        <v>60736.590631304323</v>
      </c>
      <c r="AJ104" s="56">
        <f t="shared" si="63"/>
        <v>59915.754000000001</v>
      </c>
      <c r="AK104" s="56">
        <f t="shared" si="63"/>
        <v>52483.18497701249</v>
      </c>
      <c r="AL104" s="56">
        <f t="shared" si="63"/>
        <v>129389.24326031681</v>
      </c>
      <c r="AM104" s="56">
        <f t="shared" si="63"/>
        <v>158597.63975897757</v>
      </c>
      <c r="AN104" s="56">
        <f t="shared" si="63"/>
        <v>95634.500253078557</v>
      </c>
      <c r="AO104" s="56">
        <f t="shared" si="63"/>
        <v>53671.823271437795</v>
      </c>
      <c r="AP104" s="56">
        <f t="shared" si="63"/>
        <v>112725.08595040027</v>
      </c>
      <c r="AQ104" s="56">
        <f t="shared" si="63"/>
        <v>22769.994230257493</v>
      </c>
      <c r="AR104" s="56">
        <f t="shared" si="63"/>
        <v>78242.910681437803</v>
      </c>
      <c r="AS104" s="56">
        <f t="shared" si="63"/>
        <v>53671.823271437795</v>
      </c>
      <c r="AT104" s="56">
        <f t="shared" si="63"/>
        <v>54890.177523223734</v>
      </c>
      <c r="AU104" s="56">
        <f t="shared" si="63"/>
        <v>53671.823271437795</v>
      </c>
      <c r="AV104" s="56">
        <f t="shared" si="63"/>
        <v>61173.1976</v>
      </c>
      <c r="AW104" s="56">
        <f t="shared" si="63"/>
        <v>81810.266284835598</v>
      </c>
      <c r="AX104" s="56">
        <f t="shared" si="63"/>
        <v>40558.06916671856</v>
      </c>
      <c r="AY104" s="56">
        <f t="shared" si="63"/>
        <v>76503.086455718905</v>
      </c>
      <c r="AZ104" s="182"/>
      <c r="BA104" s="56">
        <f t="shared" ref="BA104:BF104" si="64">SUM(BA90+BA102)</f>
        <v>30353.710320659084</v>
      </c>
      <c r="BB104" s="56">
        <f t="shared" si="64"/>
        <v>63257.778011008202</v>
      </c>
      <c r="BC104" s="56">
        <f t="shared" si="64"/>
        <v>54869.473127400001</v>
      </c>
      <c r="BD104" s="56">
        <f t="shared" si="64"/>
        <v>63246.879606158676</v>
      </c>
      <c r="BE104" s="56">
        <f t="shared" si="64"/>
        <v>69256.816165040014</v>
      </c>
      <c r="BF104" s="56">
        <f t="shared" si="64"/>
        <v>26308.247993600002</v>
      </c>
      <c r="BG104" s="42">
        <f t="shared" ref="BG104:BL104" si="65">+BG90+BG102</f>
        <v>32661.014904000003</v>
      </c>
      <c r="BH104" s="42">
        <f t="shared" si="65"/>
        <v>44660.87393939394</v>
      </c>
      <c r="BI104" s="42">
        <f t="shared" si="65"/>
        <v>163078.82681920001</v>
      </c>
      <c r="BJ104" s="42">
        <f t="shared" si="65"/>
        <v>0</v>
      </c>
      <c r="BK104" s="42">
        <f t="shared" si="65"/>
        <v>132090.54456100002</v>
      </c>
      <c r="BL104" s="42">
        <f t="shared" si="65"/>
        <v>21168.110968742923</v>
      </c>
      <c r="BM104" s="182"/>
      <c r="BN104" s="42">
        <f>+BN90+BN102</f>
        <v>4342872.0620357431</v>
      </c>
    </row>
    <row r="105" spans="1:66">
      <c r="C105" s="25"/>
      <c r="D105" s="25"/>
      <c r="E105" s="25"/>
      <c r="F105" s="25"/>
      <c r="G105" s="25"/>
      <c r="H105" s="25"/>
      <c r="I105" s="178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92"/>
      <c r="BA105" s="23"/>
      <c r="BB105" s="25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92"/>
    </row>
    <row r="106" spans="1:66">
      <c r="A106" s="33" t="s">
        <v>237</v>
      </c>
      <c r="C106" s="25"/>
      <c r="D106" s="25"/>
      <c r="E106" s="25"/>
      <c r="F106" s="25"/>
      <c r="G106" s="25"/>
      <c r="H106" s="25"/>
      <c r="I106" s="178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92"/>
      <c r="BA106" s="23"/>
      <c r="BB106" s="25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92"/>
    </row>
    <row r="107" spans="1:66">
      <c r="A107" s="33" t="s">
        <v>238</v>
      </c>
      <c r="C107" s="25"/>
      <c r="D107" s="25"/>
      <c r="E107" s="25"/>
      <c r="F107" s="25"/>
      <c r="G107" s="25"/>
      <c r="H107" s="25"/>
      <c r="I107" s="178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92"/>
      <c r="BA107" s="23"/>
      <c r="BB107" s="25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92"/>
    </row>
    <row r="108" spans="1:66">
      <c r="A108" s="33" t="s">
        <v>51</v>
      </c>
      <c r="B108" s="33" t="s">
        <v>50</v>
      </c>
      <c r="C108" s="25"/>
      <c r="D108" s="25">
        <f t="shared" ref="D108:D121" si="66">SUM(J108:M108)</f>
        <v>0</v>
      </c>
      <c r="E108" s="166">
        <f t="shared" ref="E108:E121" si="67">SUM(N108:AQ108)</f>
        <v>0</v>
      </c>
      <c r="F108" s="25">
        <f t="shared" ref="F108:F121" si="68">SUM(AR108:AY108)</f>
        <v>0</v>
      </c>
      <c r="G108" s="25"/>
      <c r="H108" s="25"/>
      <c r="I108" s="178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92"/>
      <c r="BA108" s="68">
        <f ca="1">SUM('AC-SVC'!C108)</f>
        <v>0</v>
      </c>
      <c r="BB108" s="68">
        <f ca="1">SUM('AC-SVC'!D108)</f>
        <v>0</v>
      </c>
      <c r="BC108" s="68">
        <f ca="1">SUM('AC-SVC'!E108)</f>
        <v>0</v>
      </c>
      <c r="BD108" s="68">
        <f ca="1">SUM('AC-SVC'!F108)</f>
        <v>0</v>
      </c>
      <c r="BE108" s="68">
        <f ca="1">SUM('AC-SVC'!G108)</f>
        <v>0</v>
      </c>
      <c r="BF108" s="68">
        <f ca="1">SUM('AC-SVC'!H108)</f>
        <v>0</v>
      </c>
      <c r="BG108" s="68">
        <f ca="1">SUM(PT!C108)</f>
        <v>0</v>
      </c>
      <c r="BH108" s="68">
        <f ca="1">SUM(CCLC!C108)</f>
        <v>20957.575757575756</v>
      </c>
      <c r="BI108" s="68">
        <f ca="1">SUM(FC!D108)</f>
        <v>0</v>
      </c>
      <c r="BJ108" s="68">
        <f ca="1">SUM(FN!G108)</f>
        <v>0</v>
      </c>
      <c r="BK108" s="68">
        <f ca="1">SUM(FS!D108)</f>
        <v>0</v>
      </c>
      <c r="BL108" s="68">
        <f ca="1">SUM(IT!D108)</f>
        <v>48150</v>
      </c>
      <c r="BM108" s="92"/>
      <c r="BN108" s="69">
        <f t="shared" ref="BN108:BN121" si="69">SUM(C108:H108)+SUM(BA108:BL108)</f>
        <v>69107.57575757576</v>
      </c>
    </row>
    <row r="109" spans="1:66">
      <c r="A109" s="33" t="s">
        <v>41</v>
      </c>
      <c r="B109" s="33" t="s">
        <v>42</v>
      </c>
      <c r="C109" s="25"/>
      <c r="D109" s="25">
        <f t="shared" si="66"/>
        <v>0</v>
      </c>
      <c r="E109" s="166">
        <f t="shared" si="67"/>
        <v>0</v>
      </c>
      <c r="F109" s="25">
        <f t="shared" si="68"/>
        <v>0</v>
      </c>
      <c r="G109" s="25"/>
      <c r="H109" s="25"/>
      <c r="I109" s="178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92"/>
      <c r="BA109" s="68">
        <f ca="1">SUM('AC-SVC'!C109)*BA7</f>
        <v>3000</v>
      </c>
      <c r="BB109" s="68">
        <f ca="1">SUM('AC-SVC'!D109)</f>
        <v>2500</v>
      </c>
      <c r="BC109" s="68">
        <f ca="1">SUM('AC-SVC'!E109)</f>
        <v>6000</v>
      </c>
      <c r="BD109" s="68">
        <f ca="1">SUM('AC-SVC'!F109)</f>
        <v>0</v>
      </c>
      <c r="BE109" s="68">
        <f ca="1">SUM('AC-SVC'!G109)</f>
        <v>0</v>
      </c>
      <c r="BF109" s="68">
        <f ca="1">SUM('AC-SVC'!H109)</f>
        <v>0</v>
      </c>
      <c r="BG109" s="68">
        <f ca="1">SUM(PT!C109)</f>
        <v>0</v>
      </c>
      <c r="BH109" s="68">
        <f ca="1">SUM(CCLC!C109)</f>
        <v>88278.420569329654</v>
      </c>
      <c r="BI109" s="68">
        <f ca="1">SUM(FC!D109)</f>
        <v>0</v>
      </c>
      <c r="BJ109" s="68">
        <f ca="1">SUM(FN!G109)</f>
        <v>0</v>
      </c>
      <c r="BK109" s="68">
        <f ca="1">SUM(FS!D109)</f>
        <v>0</v>
      </c>
      <c r="BL109" s="68">
        <f ca="1">SUM(IT!D109)</f>
        <v>0</v>
      </c>
      <c r="BM109" s="92"/>
      <c r="BN109" s="69">
        <f t="shared" si="69"/>
        <v>99778.420569329654</v>
      </c>
    </row>
    <row r="110" spans="1:66">
      <c r="A110" s="33" t="s">
        <v>43</v>
      </c>
      <c r="B110" s="33" t="s">
        <v>239</v>
      </c>
      <c r="C110" s="25"/>
      <c r="D110" s="25">
        <f t="shared" si="66"/>
        <v>1600</v>
      </c>
      <c r="E110" s="166">
        <f t="shared" si="67"/>
        <v>12000</v>
      </c>
      <c r="F110" s="25">
        <f t="shared" si="68"/>
        <v>3200</v>
      </c>
      <c r="G110" s="25"/>
      <c r="H110" s="25"/>
      <c r="I110" s="178"/>
      <c r="J110" s="25">
        <v>400</v>
      </c>
      <c r="K110" s="25">
        <v>400</v>
      </c>
      <c r="L110" s="25">
        <v>400</v>
      </c>
      <c r="M110" s="25">
        <v>400</v>
      </c>
      <c r="N110" s="25">
        <v>400</v>
      </c>
      <c r="O110" s="25">
        <v>400</v>
      </c>
      <c r="P110" s="25">
        <v>400</v>
      </c>
      <c r="Q110" s="25">
        <v>400</v>
      </c>
      <c r="R110" s="25">
        <v>400</v>
      </c>
      <c r="S110" s="25">
        <v>400</v>
      </c>
      <c r="T110" s="25">
        <v>400</v>
      </c>
      <c r="U110" s="25">
        <v>400</v>
      </c>
      <c r="V110" s="25">
        <v>400</v>
      </c>
      <c r="W110" s="25">
        <v>400</v>
      </c>
      <c r="X110" s="25">
        <v>400</v>
      </c>
      <c r="Y110" s="25">
        <v>400</v>
      </c>
      <c r="Z110" s="25">
        <v>400</v>
      </c>
      <c r="AA110" s="25">
        <v>400</v>
      </c>
      <c r="AB110" s="25">
        <v>400</v>
      </c>
      <c r="AC110" s="25">
        <v>400</v>
      </c>
      <c r="AD110" s="25">
        <v>400</v>
      </c>
      <c r="AE110" s="25">
        <v>400</v>
      </c>
      <c r="AF110" s="25">
        <v>400</v>
      </c>
      <c r="AG110" s="25">
        <v>400</v>
      </c>
      <c r="AH110" s="25">
        <v>400</v>
      </c>
      <c r="AI110" s="25">
        <v>400</v>
      </c>
      <c r="AJ110" s="25">
        <v>400</v>
      </c>
      <c r="AK110" s="25">
        <v>400</v>
      </c>
      <c r="AL110" s="25">
        <v>400</v>
      </c>
      <c r="AM110" s="25">
        <v>400</v>
      </c>
      <c r="AN110" s="25">
        <v>400</v>
      </c>
      <c r="AO110" s="25">
        <v>400</v>
      </c>
      <c r="AP110" s="25">
        <v>400</v>
      </c>
      <c r="AQ110" s="25">
        <v>400</v>
      </c>
      <c r="AR110" s="25">
        <v>400</v>
      </c>
      <c r="AS110" s="25">
        <v>400</v>
      </c>
      <c r="AT110" s="25">
        <v>400</v>
      </c>
      <c r="AU110" s="25">
        <v>400</v>
      </c>
      <c r="AV110" s="25">
        <v>400</v>
      </c>
      <c r="AW110" s="25">
        <v>400</v>
      </c>
      <c r="AX110" s="25">
        <v>400</v>
      </c>
      <c r="AY110" s="25">
        <v>400</v>
      </c>
      <c r="AZ110" s="92"/>
      <c r="BA110" s="68">
        <f ca="1">SUM('AC-SVC'!C110)</f>
        <v>0</v>
      </c>
      <c r="BB110" s="68">
        <f ca="1">SUM('AC-SVC'!D110)</f>
        <v>0</v>
      </c>
      <c r="BC110" s="68">
        <f ca="1">SUM('AC-SVC'!E110)</f>
        <v>0</v>
      </c>
      <c r="BD110" s="68">
        <f ca="1">SUM('AC-SVC'!F110)</f>
        <v>0</v>
      </c>
      <c r="BE110" s="68">
        <f ca="1">SUM('AC-SVC'!G110)</f>
        <v>0</v>
      </c>
      <c r="BF110" s="68">
        <f ca="1">SUM('AC-SVC'!H110)</f>
        <v>500</v>
      </c>
      <c r="BG110" s="68">
        <f ca="1">SUM(PT!C110)</f>
        <v>0</v>
      </c>
      <c r="BH110" s="68">
        <f ca="1">SUM(CCLC!C110)</f>
        <v>848.4848484848485</v>
      </c>
      <c r="BI110" s="68">
        <f ca="1">SUM(FC!D110)</f>
        <v>0</v>
      </c>
      <c r="BJ110" s="68">
        <f ca="1">SUM(FN!G110)*BJ7</f>
        <v>0</v>
      </c>
      <c r="BK110" s="68">
        <f ca="1">SUM(FS!D110)</f>
        <v>0</v>
      </c>
      <c r="BL110" s="68">
        <f ca="1">SUM(IT!D110)</f>
        <v>200</v>
      </c>
      <c r="BM110" s="92"/>
      <c r="BN110" s="69">
        <f t="shared" si="69"/>
        <v>18348.484848484848</v>
      </c>
    </row>
    <row r="111" spans="1:66">
      <c r="A111" s="33" t="s">
        <v>44</v>
      </c>
      <c r="B111" s="33" t="s">
        <v>45</v>
      </c>
      <c r="C111" s="25"/>
      <c r="D111" s="25">
        <f t="shared" si="66"/>
        <v>0</v>
      </c>
      <c r="E111" s="166">
        <f t="shared" si="67"/>
        <v>0</v>
      </c>
      <c r="F111" s="25">
        <f t="shared" si="68"/>
        <v>0</v>
      </c>
      <c r="G111" s="25"/>
      <c r="H111" s="25"/>
      <c r="I111" s="178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92"/>
      <c r="BA111" s="68">
        <f ca="1">SUM('AC-SVC'!C111)</f>
        <v>0</v>
      </c>
      <c r="BB111" s="68">
        <f ca="1">SUM('AC-SVC'!D111)</f>
        <v>0</v>
      </c>
      <c r="BC111" s="68">
        <f ca="1">SUM('AC-SVC'!E111)</f>
        <v>0</v>
      </c>
      <c r="BD111" s="68">
        <f ca="1">SUM('AC-SVC'!F111)</f>
        <v>0</v>
      </c>
      <c r="BE111" s="68">
        <f ca="1">SUM('AC-SVC'!G111)</f>
        <v>0</v>
      </c>
      <c r="BF111" s="68">
        <f ca="1">SUM('AC-SVC'!H111)</f>
        <v>0</v>
      </c>
      <c r="BG111" s="68">
        <f ca="1">SUM(PT!C111)</f>
        <v>0</v>
      </c>
      <c r="BH111" s="68">
        <f ca="1">SUM(CCLC!C111)</f>
        <v>0</v>
      </c>
      <c r="BI111" s="68">
        <f ca="1">SUM(FC!D111)</f>
        <v>3000</v>
      </c>
      <c r="BJ111" s="68">
        <f ca="1">SUM(FN!G111)</f>
        <v>0</v>
      </c>
      <c r="BK111" s="68">
        <f ca="1">SUM(FS!D111)</f>
        <v>0</v>
      </c>
      <c r="BL111" s="68">
        <f ca="1">SUM(IT!D111)</f>
        <v>0</v>
      </c>
      <c r="BM111" s="92"/>
      <c r="BN111" s="69">
        <f t="shared" si="69"/>
        <v>3000</v>
      </c>
    </row>
    <row r="112" spans="1:66">
      <c r="A112" s="33" t="s">
        <v>46</v>
      </c>
      <c r="B112" s="33" t="s">
        <v>240</v>
      </c>
      <c r="C112" s="25"/>
      <c r="D112" s="25">
        <f t="shared" si="66"/>
        <v>0</v>
      </c>
      <c r="E112" s="166">
        <f t="shared" si="67"/>
        <v>0</v>
      </c>
      <c r="F112" s="25">
        <f t="shared" si="68"/>
        <v>0</v>
      </c>
      <c r="G112" s="25"/>
      <c r="H112" s="25"/>
      <c r="I112" s="178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92"/>
      <c r="BA112" s="68">
        <f ca="1">SUM('AC-SVC'!C112)</f>
        <v>0</v>
      </c>
      <c r="BB112" s="68">
        <f ca="1">SUM('AC-SVC'!D112)</f>
        <v>0</v>
      </c>
      <c r="BC112" s="68">
        <f ca="1">SUM('AC-SVC'!E112)</f>
        <v>0</v>
      </c>
      <c r="BD112" s="68">
        <f ca="1">SUM('AC-SVC'!F112)</f>
        <v>0</v>
      </c>
      <c r="BE112" s="68">
        <f ca="1">SUM('AC-SVC'!G112)</f>
        <v>0</v>
      </c>
      <c r="BF112" s="68">
        <f ca="1">SUM('AC-SVC'!H112)</f>
        <v>0</v>
      </c>
      <c r="BG112" s="68">
        <f ca="1">SUM(PT!C112)</f>
        <v>0</v>
      </c>
      <c r="BH112" s="68">
        <f ca="1">SUM(CCLC!C112)</f>
        <v>0</v>
      </c>
      <c r="BI112" s="68">
        <f ca="1">SUM(FC!D112)</f>
        <v>0</v>
      </c>
      <c r="BJ112" s="68">
        <f ca="1">SUM(FN!G112)</f>
        <v>0</v>
      </c>
      <c r="BK112" s="68">
        <f ca="1">SUM(FS!D112)</f>
        <v>0</v>
      </c>
      <c r="BL112" s="68">
        <f ca="1">SUM(IT!D112)</f>
        <v>0</v>
      </c>
      <c r="BM112" s="92"/>
      <c r="BN112" s="69">
        <f t="shared" si="69"/>
        <v>0</v>
      </c>
    </row>
    <row r="113" spans="1:66">
      <c r="A113" s="33" t="s">
        <v>47</v>
      </c>
      <c r="B113" s="33" t="s">
        <v>241</v>
      </c>
      <c r="C113" s="25"/>
      <c r="D113" s="25">
        <f t="shared" si="66"/>
        <v>0</v>
      </c>
      <c r="E113" s="166">
        <f t="shared" si="67"/>
        <v>0</v>
      </c>
      <c r="F113" s="25">
        <f t="shared" si="68"/>
        <v>0</v>
      </c>
      <c r="G113" s="25"/>
      <c r="H113" s="25"/>
      <c r="I113" s="178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92"/>
      <c r="BA113" s="68">
        <f ca="1">SUM('AC-SVC'!C113)</f>
        <v>0</v>
      </c>
      <c r="BB113" s="68">
        <f ca="1">SUM('AC-SVC'!D113)</f>
        <v>0</v>
      </c>
      <c r="BC113" s="68">
        <f ca="1">SUM('AC-SVC'!E113)</f>
        <v>0</v>
      </c>
      <c r="BD113" s="68">
        <f ca="1">SUM('AC-SVC'!F113)</f>
        <v>0</v>
      </c>
      <c r="BE113" s="68">
        <f ca="1">SUM('AC-SVC'!G113)</f>
        <v>0</v>
      </c>
      <c r="BF113" s="68">
        <f ca="1">SUM('AC-SVC'!H113)</f>
        <v>0</v>
      </c>
      <c r="BG113" s="68">
        <f ca="1">SUM(PT!C113)</f>
        <v>0</v>
      </c>
      <c r="BH113" s="68">
        <f ca="1">SUM(CCLC!C113)</f>
        <v>1696.969696969697</v>
      </c>
      <c r="BI113" s="68">
        <f ca="1">SUM(FC!D113)</f>
        <v>0</v>
      </c>
      <c r="BJ113" s="68">
        <f ca="1">SUM(FN!G113)</f>
        <v>0</v>
      </c>
      <c r="BK113" s="68">
        <f ca="1">SUM(FS!D113)</f>
        <v>0</v>
      </c>
      <c r="BL113" s="68">
        <f ca="1">SUM(IT!D113)</f>
        <v>0</v>
      </c>
      <c r="BM113" s="92"/>
      <c r="BN113" s="69">
        <f t="shared" si="69"/>
        <v>1696.969696969697</v>
      </c>
    </row>
    <row r="114" spans="1:66">
      <c r="A114" s="33" t="s">
        <v>48</v>
      </c>
      <c r="B114" s="33" t="s">
        <v>49</v>
      </c>
      <c r="C114" s="25"/>
      <c r="D114" s="25">
        <f t="shared" si="66"/>
        <v>0</v>
      </c>
      <c r="E114" s="166">
        <f t="shared" si="67"/>
        <v>0</v>
      </c>
      <c r="F114" s="25">
        <f t="shared" si="68"/>
        <v>0</v>
      </c>
      <c r="G114" s="25"/>
      <c r="H114" s="25"/>
      <c r="I114" s="178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92"/>
      <c r="BA114" s="68">
        <f ca="1">SUM('AC-SVC'!C114)</f>
        <v>0</v>
      </c>
      <c r="BB114" s="68">
        <f ca="1">SUM('AC-SVC'!D114)</f>
        <v>0</v>
      </c>
      <c r="BC114" s="68">
        <f ca="1">SUM('AC-SVC'!E114)</f>
        <v>0</v>
      </c>
      <c r="BD114" s="68">
        <f ca="1">SUM('AC-SVC'!F114)</f>
        <v>0</v>
      </c>
      <c r="BE114" s="68">
        <f ca="1">SUM('AC-SVC'!G114)</f>
        <v>0</v>
      </c>
      <c r="BF114" s="68">
        <f ca="1">SUM('AC-SVC'!H114)</f>
        <v>0</v>
      </c>
      <c r="BG114" s="68">
        <f ca="1">SUM(PT!C114)</f>
        <v>0</v>
      </c>
      <c r="BH114" s="68">
        <f ca="1">SUM(CCLC!C114)</f>
        <v>0</v>
      </c>
      <c r="BI114" s="68">
        <f ca="1">SUM(FC!D114)</f>
        <v>9500</v>
      </c>
      <c r="BJ114" s="68">
        <f ca="1">SUM(FN!G114)</f>
        <v>0</v>
      </c>
      <c r="BK114" s="68">
        <f ca="1">SUM(FS!D114)</f>
        <v>0</v>
      </c>
      <c r="BL114" s="68">
        <f ca="1">SUM(IT!D114)</f>
        <v>2720</v>
      </c>
      <c r="BM114" s="92"/>
      <c r="BN114" s="69">
        <f t="shared" si="69"/>
        <v>12220</v>
      </c>
    </row>
    <row r="115" spans="1:66">
      <c r="A115" s="33" t="s">
        <v>82</v>
      </c>
      <c r="B115" s="33" t="s">
        <v>166</v>
      </c>
      <c r="C115" s="25"/>
      <c r="D115" s="25">
        <f t="shared" ref="D115:D120" si="70">SUM(J115:M115)</f>
        <v>200</v>
      </c>
      <c r="E115" s="166">
        <f t="shared" si="67"/>
        <v>1500</v>
      </c>
      <c r="F115" s="25">
        <f t="shared" ref="F115:F120" si="71">SUM(AR115:AY115)</f>
        <v>400</v>
      </c>
      <c r="G115" s="25"/>
      <c r="H115" s="25"/>
      <c r="I115" s="178"/>
      <c r="J115" s="25">
        <v>50</v>
      </c>
      <c r="K115" s="25">
        <v>50</v>
      </c>
      <c r="L115" s="25">
        <v>50</v>
      </c>
      <c r="M115" s="25">
        <v>50</v>
      </c>
      <c r="N115" s="25">
        <v>50</v>
      </c>
      <c r="O115" s="25">
        <v>50</v>
      </c>
      <c r="P115" s="25">
        <v>50</v>
      </c>
      <c r="Q115" s="25">
        <v>50</v>
      </c>
      <c r="R115" s="25">
        <v>50</v>
      </c>
      <c r="S115" s="25">
        <v>50</v>
      </c>
      <c r="T115" s="25">
        <v>50</v>
      </c>
      <c r="U115" s="25">
        <v>50</v>
      </c>
      <c r="V115" s="25">
        <v>50</v>
      </c>
      <c r="W115" s="25">
        <v>50</v>
      </c>
      <c r="X115" s="25">
        <v>50</v>
      </c>
      <c r="Y115" s="25">
        <v>50</v>
      </c>
      <c r="Z115" s="25">
        <v>50</v>
      </c>
      <c r="AA115" s="25">
        <v>50</v>
      </c>
      <c r="AB115" s="25">
        <v>50</v>
      </c>
      <c r="AC115" s="25">
        <v>50</v>
      </c>
      <c r="AD115" s="25">
        <v>50</v>
      </c>
      <c r="AE115" s="25">
        <v>50</v>
      </c>
      <c r="AF115" s="25">
        <v>50</v>
      </c>
      <c r="AG115" s="25">
        <v>50</v>
      </c>
      <c r="AH115" s="25">
        <v>50</v>
      </c>
      <c r="AI115" s="25">
        <v>50</v>
      </c>
      <c r="AJ115" s="25">
        <v>50</v>
      </c>
      <c r="AK115" s="25">
        <v>50</v>
      </c>
      <c r="AL115" s="25">
        <v>50</v>
      </c>
      <c r="AM115" s="25">
        <v>50</v>
      </c>
      <c r="AN115" s="25">
        <v>50</v>
      </c>
      <c r="AO115" s="25">
        <v>50</v>
      </c>
      <c r="AP115" s="25">
        <v>50</v>
      </c>
      <c r="AQ115" s="25">
        <v>50</v>
      </c>
      <c r="AR115" s="25">
        <v>50</v>
      </c>
      <c r="AS115" s="25">
        <v>50</v>
      </c>
      <c r="AT115" s="25">
        <v>50</v>
      </c>
      <c r="AU115" s="25">
        <v>50</v>
      </c>
      <c r="AV115" s="25">
        <v>50</v>
      </c>
      <c r="AW115" s="25">
        <v>50</v>
      </c>
      <c r="AX115" s="25">
        <v>50</v>
      </c>
      <c r="AY115" s="25">
        <v>50</v>
      </c>
      <c r="AZ115" s="92"/>
      <c r="BA115" s="68">
        <f ca="1">SUM('AC-SVC'!C115)</f>
        <v>0</v>
      </c>
      <c r="BB115" s="68">
        <f ca="1">SUM('AC-SVC'!D115)</f>
        <v>0</v>
      </c>
      <c r="BC115" s="68">
        <f ca="1">SUM('AC-SVC'!E115)</f>
        <v>0</v>
      </c>
      <c r="BD115" s="68">
        <f ca="1">SUM('AC-SVC'!F115)</f>
        <v>0</v>
      </c>
      <c r="BE115" s="68">
        <f ca="1">SUM('AC-SVC'!G115)</f>
        <v>0</v>
      </c>
      <c r="BF115" s="68">
        <f ca="1">SUM('AC-SVC'!H115)</f>
        <v>0</v>
      </c>
      <c r="BG115" s="68">
        <f ca="1">SUM(PT!C115)</f>
        <v>0</v>
      </c>
      <c r="BH115" s="68">
        <f ca="1">SUM(CCLC!C115)</f>
        <v>0</v>
      </c>
      <c r="BI115" s="68">
        <f ca="1">SUM(FC!D115)</f>
        <v>0</v>
      </c>
      <c r="BJ115" s="68">
        <f ca="1">SUM(FN!G115)</f>
        <v>0</v>
      </c>
      <c r="BK115" s="68">
        <f ca="1">SUM(FS!D115)</f>
        <v>0</v>
      </c>
      <c r="BL115" s="68">
        <f ca="1">SUM(IT!D115)</f>
        <v>0</v>
      </c>
      <c r="BM115" s="92"/>
      <c r="BN115" s="69">
        <f t="shared" si="69"/>
        <v>2100</v>
      </c>
    </row>
    <row r="116" spans="1:66">
      <c r="A116" s="33" t="s">
        <v>104</v>
      </c>
      <c r="B116" s="33" t="s">
        <v>103</v>
      </c>
      <c r="C116" s="25"/>
      <c r="D116" s="25">
        <f t="shared" si="70"/>
        <v>0</v>
      </c>
      <c r="E116" s="166">
        <f t="shared" si="67"/>
        <v>0</v>
      </c>
      <c r="F116" s="25">
        <f t="shared" si="71"/>
        <v>0</v>
      </c>
      <c r="G116" s="25"/>
      <c r="H116" s="25"/>
      <c r="I116" s="178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92"/>
      <c r="BA116" s="68">
        <f ca="1">SUM('AC-SVC'!C116)</f>
        <v>0</v>
      </c>
      <c r="BB116" s="68">
        <f ca="1">SUM('AC-SVC'!D116)</f>
        <v>0</v>
      </c>
      <c r="BC116" s="68">
        <f ca="1">SUM('AC-SVC'!E116)</f>
        <v>0</v>
      </c>
      <c r="BD116" s="68">
        <f ca="1">SUM('AC-SVC'!F116)</f>
        <v>0</v>
      </c>
      <c r="BE116" s="68">
        <f ca="1">SUM('AC-SVC'!G116)</f>
        <v>0</v>
      </c>
      <c r="BF116" s="68">
        <f ca="1">SUM('AC-SVC'!H116)</f>
        <v>0</v>
      </c>
      <c r="BG116" s="68">
        <f ca="1">SUM(PT!C116)</f>
        <v>0</v>
      </c>
      <c r="BH116" s="68">
        <f ca="1">SUM(CCLC!C116)</f>
        <v>212.12121212121212</v>
      </c>
      <c r="BI116" s="68">
        <f ca="1">SUM(FC!D116)</f>
        <v>0</v>
      </c>
      <c r="BJ116" s="68">
        <f ca="1">SUM(FN!G116)</f>
        <v>0</v>
      </c>
      <c r="BK116" s="68">
        <f ca="1">SUM(FS!D116)</f>
        <v>0</v>
      </c>
      <c r="BL116" s="68">
        <f ca="1">SUM(IT!D116)</f>
        <v>0</v>
      </c>
      <c r="BM116" s="92"/>
      <c r="BN116" s="69">
        <f t="shared" si="69"/>
        <v>212.12121212121212</v>
      </c>
    </row>
    <row r="117" spans="1:66">
      <c r="A117" s="33" t="s">
        <v>59</v>
      </c>
      <c r="B117" s="33" t="s">
        <v>321</v>
      </c>
      <c r="C117" s="25"/>
      <c r="D117" s="25">
        <f t="shared" si="70"/>
        <v>0</v>
      </c>
      <c r="E117" s="166">
        <f t="shared" si="67"/>
        <v>0</v>
      </c>
      <c r="F117" s="25">
        <f t="shared" si="71"/>
        <v>0</v>
      </c>
      <c r="G117" s="25"/>
      <c r="H117" s="25"/>
      <c r="I117" s="178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92"/>
      <c r="BA117" s="68">
        <f ca="1">SUM('AC-SVC'!C117)</f>
        <v>0</v>
      </c>
      <c r="BB117" s="68">
        <f ca="1">SUM('AC-SVC'!D117)</f>
        <v>0</v>
      </c>
      <c r="BC117" s="68">
        <f ca="1">SUM('AC-SVC'!E117)</f>
        <v>0</v>
      </c>
      <c r="BD117" s="68">
        <f ca="1">SUM('AC-SVC'!F117)</f>
        <v>0</v>
      </c>
      <c r="BE117" s="68">
        <f ca="1">SUM('AC-SVC'!G117)</f>
        <v>0</v>
      </c>
      <c r="BF117" s="68">
        <f ca="1">SUM('AC-SVC'!H117)</f>
        <v>0</v>
      </c>
      <c r="BG117" s="68">
        <f ca="1">SUM(PT!C117)</f>
        <v>0</v>
      </c>
      <c r="BH117" s="68">
        <f ca="1">SUM(CCLC!C117)</f>
        <v>0</v>
      </c>
      <c r="BI117" s="68">
        <f ca="1">SUM(FC!D117)</f>
        <v>1776</v>
      </c>
      <c r="BJ117" s="68">
        <f ca="1">SUM(FN!G117)</f>
        <v>0</v>
      </c>
      <c r="BK117" s="68">
        <f ca="1">SUM(FS!D117)</f>
        <v>0</v>
      </c>
      <c r="BL117" s="68">
        <f ca="1">SUM(IT!D117)</f>
        <v>0</v>
      </c>
      <c r="BM117" s="92"/>
      <c r="BN117" s="69">
        <f t="shared" si="69"/>
        <v>1776</v>
      </c>
    </row>
    <row r="118" spans="1:66">
      <c r="A118" s="33" t="s">
        <v>87</v>
      </c>
      <c r="B118" s="33" t="s">
        <v>88</v>
      </c>
      <c r="C118" s="25"/>
      <c r="D118" s="25">
        <f t="shared" si="70"/>
        <v>0</v>
      </c>
      <c r="E118" s="166">
        <f t="shared" si="67"/>
        <v>0</v>
      </c>
      <c r="F118" s="25">
        <f t="shared" si="71"/>
        <v>0</v>
      </c>
      <c r="G118" s="25"/>
      <c r="H118" s="25"/>
      <c r="I118" s="178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92"/>
      <c r="BA118" s="68">
        <f ca="1">SUM('AC-SVC'!C118)</f>
        <v>0</v>
      </c>
      <c r="BB118" s="68">
        <f ca="1">SUM('AC-SVC'!D118)</f>
        <v>0</v>
      </c>
      <c r="BC118" s="68">
        <f ca="1">SUM('AC-SVC'!E118)</f>
        <v>0</v>
      </c>
      <c r="BD118" s="68">
        <f ca="1">SUM('AC-SVC'!F118)</f>
        <v>0</v>
      </c>
      <c r="BE118" s="68">
        <f ca="1">SUM('AC-SVC'!G118)</f>
        <v>0</v>
      </c>
      <c r="BF118" s="68">
        <f ca="1">SUM('AC-SVC'!H118)</f>
        <v>0</v>
      </c>
      <c r="BG118" s="68">
        <f ca="1">SUM(PT!C118)</f>
        <v>0</v>
      </c>
      <c r="BH118" s="68">
        <f ca="1">SUM(CCLC!C118)</f>
        <v>0</v>
      </c>
      <c r="BI118" s="68">
        <f ca="1">SUM(FC!D118)</f>
        <v>0</v>
      </c>
      <c r="BJ118" s="68">
        <f ca="1">SUM(FN!G118)</f>
        <v>0</v>
      </c>
      <c r="BK118" s="68">
        <f ca="1">SUM(FS!D118)</f>
        <v>0</v>
      </c>
      <c r="BL118" s="68">
        <f ca="1">SUM(IT!D118)</f>
        <v>0</v>
      </c>
      <c r="BM118" s="92"/>
      <c r="BN118" s="69">
        <f t="shared" si="69"/>
        <v>0</v>
      </c>
    </row>
    <row r="119" spans="1:66">
      <c r="A119" s="33" t="s">
        <v>89</v>
      </c>
      <c r="B119" s="33" t="s">
        <v>90</v>
      </c>
      <c r="C119" s="25"/>
      <c r="D119" s="25">
        <f t="shared" si="70"/>
        <v>0</v>
      </c>
      <c r="E119" s="166">
        <f t="shared" si="67"/>
        <v>0</v>
      </c>
      <c r="F119" s="25">
        <f t="shared" si="71"/>
        <v>0</v>
      </c>
      <c r="G119" s="25"/>
      <c r="H119" s="25"/>
      <c r="I119" s="178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92"/>
      <c r="BA119" s="68">
        <f ca="1">SUM('AC-SVC'!C119)</f>
        <v>0</v>
      </c>
      <c r="BB119" s="68">
        <f ca="1">SUM('AC-SVC'!D119)</f>
        <v>0</v>
      </c>
      <c r="BC119" s="68">
        <f ca="1">SUM('AC-SVC'!E119)</f>
        <v>0</v>
      </c>
      <c r="BD119" s="68">
        <f ca="1">SUM('AC-SVC'!F119)</f>
        <v>0</v>
      </c>
      <c r="BE119" s="68">
        <f ca="1">SUM('AC-SVC'!G119)</f>
        <v>0</v>
      </c>
      <c r="BF119" s="68">
        <f ca="1">SUM('AC-SVC'!H119)</f>
        <v>0</v>
      </c>
      <c r="BG119" s="68">
        <f ca="1">SUM(PT!C119)</f>
        <v>0</v>
      </c>
      <c r="BH119" s="68">
        <f ca="1">SUM(CCLC!C119)</f>
        <v>0</v>
      </c>
      <c r="BI119" s="68">
        <f ca="1">SUM(FC!D119)</f>
        <v>0</v>
      </c>
      <c r="BJ119" s="68">
        <f ca="1">SUM(FN!G119)</f>
        <v>0</v>
      </c>
      <c r="BK119" s="68">
        <f ca="1">SUM(FS!D119)</f>
        <v>0</v>
      </c>
      <c r="BL119" s="68">
        <f ca="1">SUM(IT!D119)</f>
        <v>0</v>
      </c>
      <c r="BM119" s="92"/>
      <c r="BN119" s="69">
        <f t="shared" si="69"/>
        <v>0</v>
      </c>
    </row>
    <row r="120" spans="1:66">
      <c r="A120" s="33" t="s">
        <v>450</v>
      </c>
      <c r="B120" s="33" t="s">
        <v>451</v>
      </c>
      <c r="C120" s="25"/>
      <c r="D120" s="25">
        <f t="shared" si="70"/>
        <v>0</v>
      </c>
      <c r="E120" s="166">
        <f t="shared" si="67"/>
        <v>0</v>
      </c>
      <c r="F120" s="25">
        <f t="shared" si="71"/>
        <v>0</v>
      </c>
      <c r="G120" s="25"/>
      <c r="H120" s="25"/>
      <c r="I120" s="178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92"/>
      <c r="BA120" s="68">
        <f ca="1">SUM('AC-SVC'!C120)</f>
        <v>0</v>
      </c>
      <c r="BB120" s="68">
        <f ca="1">SUM('AC-SVC'!D120)</f>
        <v>0</v>
      </c>
      <c r="BC120" s="68">
        <f ca="1">SUM('AC-SVC'!E120)</f>
        <v>0</v>
      </c>
      <c r="BD120" s="68">
        <f ca="1">SUM('AC-SVC'!F120)</f>
        <v>0</v>
      </c>
      <c r="BE120" s="68">
        <f ca="1">SUM('AC-SVC'!G120)</f>
        <v>0</v>
      </c>
      <c r="BF120" s="68">
        <f ca="1">SUM('AC-SVC'!H120)</f>
        <v>0</v>
      </c>
      <c r="BG120" s="68">
        <f ca="1">SUM(PT!C120)</f>
        <v>0</v>
      </c>
      <c r="BH120" s="68">
        <f ca="1">SUM(CCLC!C120)</f>
        <v>954.54545454545462</v>
      </c>
      <c r="BI120" s="68">
        <f ca="1">SUM(FC!D120)</f>
        <v>0</v>
      </c>
      <c r="BJ120" s="68">
        <f ca="1">SUM(FN!G120)</f>
        <v>0</v>
      </c>
      <c r="BK120" s="68">
        <f ca="1">SUM(FS!D120)</f>
        <v>0</v>
      </c>
      <c r="BL120" s="68">
        <f ca="1">SUM(IT!D120)</f>
        <v>0</v>
      </c>
      <c r="BM120" s="92"/>
      <c r="BN120" s="69">
        <f t="shared" si="69"/>
        <v>954.54545454545462</v>
      </c>
    </row>
    <row r="121" spans="1:66">
      <c r="A121" s="33" t="s">
        <v>52</v>
      </c>
      <c r="B121" s="33" t="s">
        <v>53</v>
      </c>
      <c r="C121" s="180"/>
      <c r="D121" s="180">
        <f t="shared" si="66"/>
        <v>0</v>
      </c>
      <c r="E121" s="180">
        <f t="shared" si="67"/>
        <v>0</v>
      </c>
      <c r="F121" s="180">
        <f t="shared" si="68"/>
        <v>0</v>
      </c>
      <c r="G121" s="180"/>
      <c r="H121" s="180"/>
      <c r="I121" s="178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92"/>
      <c r="BA121" s="22">
        <f ca="1">SUM('AC-SVC'!C121)</f>
        <v>0</v>
      </c>
      <c r="BB121" s="22">
        <f ca="1">SUM('AC-SVC'!D121)</f>
        <v>0</v>
      </c>
      <c r="BC121" s="22">
        <f ca="1">SUM('AC-SVC'!E121)</f>
        <v>0</v>
      </c>
      <c r="BD121" s="22">
        <f ca="1">SUM('AC-SVC'!F121)</f>
        <v>0</v>
      </c>
      <c r="BE121" s="22">
        <f ca="1">SUM('AC-SVC'!G121)</f>
        <v>0</v>
      </c>
      <c r="BF121" s="22">
        <f ca="1">SUM('AC-SVC'!H121)</f>
        <v>0</v>
      </c>
      <c r="BG121" s="22">
        <f ca="1">SUM(PT!C121)</f>
        <v>13500</v>
      </c>
      <c r="BH121" s="22">
        <f ca="1">SUM(CCLC!C121)</f>
        <v>1696.969696969697</v>
      </c>
      <c r="BI121" s="22">
        <f ca="1">SUM(FC!D121)</f>
        <v>0</v>
      </c>
      <c r="BJ121" s="22">
        <f ca="1">SUM(FN!G121)</f>
        <v>0</v>
      </c>
      <c r="BK121" s="22">
        <f ca="1">SUM(FS!D121)</f>
        <v>0</v>
      </c>
      <c r="BL121" s="22">
        <f ca="1">SUM(IT!D121)</f>
        <v>0</v>
      </c>
      <c r="BM121" s="92"/>
      <c r="BN121" s="70">
        <f t="shared" si="69"/>
        <v>15196.969696969696</v>
      </c>
    </row>
    <row r="122" spans="1:66">
      <c r="B122" s="33" t="s">
        <v>242</v>
      </c>
      <c r="C122" s="25">
        <f t="shared" ref="C122:AY122" si="72">SUM(C108:C121)</f>
        <v>0</v>
      </c>
      <c r="D122" s="25">
        <f t="shared" si="72"/>
        <v>1800</v>
      </c>
      <c r="E122" s="25">
        <f t="shared" si="72"/>
        <v>13500</v>
      </c>
      <c r="F122" s="25">
        <f t="shared" si="72"/>
        <v>3600</v>
      </c>
      <c r="G122" s="25">
        <f t="shared" si="72"/>
        <v>0</v>
      </c>
      <c r="H122" s="25">
        <f t="shared" si="72"/>
        <v>0</v>
      </c>
      <c r="I122" s="178"/>
      <c r="J122" s="25">
        <f t="shared" si="72"/>
        <v>450</v>
      </c>
      <c r="K122" s="25">
        <f t="shared" si="72"/>
        <v>450</v>
      </c>
      <c r="L122" s="25">
        <f t="shared" si="72"/>
        <v>450</v>
      </c>
      <c r="M122" s="25">
        <f t="shared" si="72"/>
        <v>450</v>
      </c>
      <c r="N122" s="25">
        <f t="shared" si="72"/>
        <v>450</v>
      </c>
      <c r="O122" s="25">
        <f t="shared" si="72"/>
        <v>450</v>
      </c>
      <c r="P122" s="25">
        <f t="shared" si="72"/>
        <v>450</v>
      </c>
      <c r="Q122" s="25">
        <f t="shared" si="72"/>
        <v>450</v>
      </c>
      <c r="R122" s="25">
        <f t="shared" si="72"/>
        <v>450</v>
      </c>
      <c r="S122" s="25">
        <f t="shared" si="72"/>
        <v>450</v>
      </c>
      <c r="T122" s="25">
        <f t="shared" si="72"/>
        <v>450</v>
      </c>
      <c r="U122" s="25">
        <f t="shared" si="72"/>
        <v>450</v>
      </c>
      <c r="V122" s="25">
        <f t="shared" si="72"/>
        <v>450</v>
      </c>
      <c r="W122" s="25">
        <f t="shared" si="72"/>
        <v>450</v>
      </c>
      <c r="X122" s="25">
        <f t="shared" si="72"/>
        <v>450</v>
      </c>
      <c r="Y122" s="25">
        <f t="shared" si="72"/>
        <v>450</v>
      </c>
      <c r="Z122" s="25">
        <f t="shared" si="72"/>
        <v>450</v>
      </c>
      <c r="AA122" s="25">
        <f t="shared" si="72"/>
        <v>450</v>
      </c>
      <c r="AB122" s="25">
        <f t="shared" si="72"/>
        <v>450</v>
      </c>
      <c r="AC122" s="25">
        <f t="shared" si="72"/>
        <v>450</v>
      </c>
      <c r="AD122" s="25">
        <f t="shared" si="72"/>
        <v>450</v>
      </c>
      <c r="AE122" s="25">
        <f t="shared" si="72"/>
        <v>450</v>
      </c>
      <c r="AF122" s="25">
        <f t="shared" si="72"/>
        <v>450</v>
      </c>
      <c r="AG122" s="25">
        <f t="shared" si="72"/>
        <v>450</v>
      </c>
      <c r="AH122" s="25">
        <f t="shared" si="72"/>
        <v>450</v>
      </c>
      <c r="AI122" s="25">
        <f t="shared" si="72"/>
        <v>450</v>
      </c>
      <c r="AJ122" s="25">
        <f t="shared" si="72"/>
        <v>450</v>
      </c>
      <c r="AK122" s="25">
        <f t="shared" si="72"/>
        <v>450</v>
      </c>
      <c r="AL122" s="25">
        <f t="shared" si="72"/>
        <v>450</v>
      </c>
      <c r="AM122" s="25">
        <f t="shared" si="72"/>
        <v>450</v>
      </c>
      <c r="AN122" s="25">
        <f t="shared" si="72"/>
        <v>450</v>
      </c>
      <c r="AO122" s="25">
        <f t="shared" si="72"/>
        <v>450</v>
      </c>
      <c r="AP122" s="25">
        <f t="shared" si="72"/>
        <v>450</v>
      </c>
      <c r="AQ122" s="25">
        <f t="shared" si="72"/>
        <v>450</v>
      </c>
      <c r="AR122" s="25">
        <f t="shared" si="72"/>
        <v>450</v>
      </c>
      <c r="AS122" s="25">
        <f t="shared" si="72"/>
        <v>450</v>
      </c>
      <c r="AT122" s="25">
        <f t="shared" si="72"/>
        <v>450</v>
      </c>
      <c r="AU122" s="25">
        <f t="shared" si="72"/>
        <v>450</v>
      </c>
      <c r="AV122" s="25">
        <f t="shared" si="72"/>
        <v>450</v>
      </c>
      <c r="AW122" s="25">
        <f t="shared" si="72"/>
        <v>450</v>
      </c>
      <c r="AX122" s="25">
        <f t="shared" si="72"/>
        <v>450</v>
      </c>
      <c r="AY122" s="25">
        <f t="shared" si="72"/>
        <v>450</v>
      </c>
      <c r="AZ122" s="92"/>
      <c r="BA122" s="23">
        <f t="shared" ref="BA122:BF122" si="73">+SUM(BA108:BA121)</f>
        <v>3000</v>
      </c>
      <c r="BB122" s="23">
        <f t="shared" si="73"/>
        <v>2500</v>
      </c>
      <c r="BC122" s="23">
        <f t="shared" si="73"/>
        <v>6000</v>
      </c>
      <c r="BD122" s="23">
        <f t="shared" si="73"/>
        <v>0</v>
      </c>
      <c r="BE122" s="23">
        <f t="shared" si="73"/>
        <v>0</v>
      </c>
      <c r="BF122" s="23">
        <f t="shared" si="73"/>
        <v>500</v>
      </c>
      <c r="BG122" s="23">
        <f t="shared" ref="BG122:BL122" si="74">+SUM(BG108:BG121)</f>
        <v>13500</v>
      </c>
      <c r="BH122" s="23">
        <f t="shared" si="74"/>
        <v>114645.08723599633</v>
      </c>
      <c r="BI122" s="23">
        <f t="shared" si="74"/>
        <v>14276</v>
      </c>
      <c r="BJ122" s="23">
        <f t="shared" si="74"/>
        <v>0</v>
      </c>
      <c r="BK122" s="23">
        <f t="shared" si="74"/>
        <v>0</v>
      </c>
      <c r="BL122" s="23">
        <f t="shared" si="74"/>
        <v>51070</v>
      </c>
      <c r="BM122" s="92"/>
      <c r="BN122" s="56">
        <f>SUM(BN108:BN121)</f>
        <v>224391.0872359963</v>
      </c>
    </row>
    <row r="123" spans="1:66">
      <c r="C123" s="25"/>
      <c r="D123" s="25"/>
      <c r="E123" s="25"/>
      <c r="F123" s="25"/>
      <c r="G123" s="25"/>
      <c r="H123" s="25"/>
      <c r="I123" s="178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92"/>
      <c r="BA123" s="23"/>
      <c r="BB123" s="25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92"/>
    </row>
    <row r="124" spans="1:66">
      <c r="A124" s="33" t="s">
        <v>243</v>
      </c>
      <c r="C124" s="25"/>
      <c r="D124" s="25"/>
      <c r="E124" s="25"/>
      <c r="F124" s="25"/>
      <c r="G124" s="25"/>
      <c r="H124" s="25"/>
      <c r="I124" s="178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92"/>
      <c r="BA124" s="23"/>
      <c r="BB124" s="25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92"/>
    </row>
    <row r="125" spans="1:66">
      <c r="A125" s="33" t="s">
        <v>56</v>
      </c>
      <c r="B125" s="33" t="s">
        <v>246</v>
      </c>
      <c r="C125" s="25"/>
      <c r="D125" s="25">
        <f t="shared" ref="D125:D132" si="75">SUM(J125:M125)</f>
        <v>0</v>
      </c>
      <c r="E125" s="166">
        <f t="shared" ref="E125:E132" si="76">SUM(N125:AQ125)</f>
        <v>0</v>
      </c>
      <c r="F125" s="25">
        <f t="shared" ref="F125:F132" si="77">SUM(AR125:AY125)</f>
        <v>0</v>
      </c>
      <c r="G125" s="25"/>
      <c r="H125" s="25"/>
      <c r="I125" s="178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92"/>
      <c r="BA125" s="68">
        <f ca="1">SUM('AC-SVC'!C125)</f>
        <v>0</v>
      </c>
      <c r="BB125" s="68">
        <f ca="1">SUM('AC-SVC'!D125)</f>
        <v>0</v>
      </c>
      <c r="BC125" s="68">
        <f ca="1">SUM('AC-SVC'!E125)</f>
        <v>0</v>
      </c>
      <c r="BD125" s="68">
        <f ca="1">SUM('AC-SVC'!F125)</f>
        <v>0</v>
      </c>
      <c r="BE125" s="68">
        <f ca="1">SUM('AC-SVC'!G125)</f>
        <v>0</v>
      </c>
      <c r="BF125" s="68">
        <f ca="1">SUM('AC-SVC'!H125)</f>
        <v>0</v>
      </c>
      <c r="BG125" s="68">
        <f ca="1">SUM(PT!C125)</f>
        <v>0</v>
      </c>
      <c r="BH125" s="68">
        <f ca="1">SUM(CCLC!C125)</f>
        <v>0</v>
      </c>
      <c r="BI125" s="68">
        <f ca="1">SUM(FC!D125)</f>
        <v>480</v>
      </c>
      <c r="BJ125" s="68">
        <f ca="1">SUM(FN!G125)</f>
        <v>0</v>
      </c>
      <c r="BK125" s="68">
        <f ca="1">SUM(FS!D125)</f>
        <v>0</v>
      </c>
      <c r="BL125" s="68">
        <f ca="1">SUM(IT!D125)</f>
        <v>0</v>
      </c>
      <c r="BM125" s="92"/>
      <c r="BN125" s="69">
        <f t="shared" ref="BN125:BN132" si="78">SUM(C125:H125)+SUM(BA125:BL125)</f>
        <v>480</v>
      </c>
    </row>
    <row r="126" spans="1:66">
      <c r="A126" s="33" t="s">
        <v>57</v>
      </c>
      <c r="B126" s="33" t="s">
        <v>247</v>
      </c>
      <c r="C126" s="25"/>
      <c r="D126" s="25">
        <f t="shared" si="75"/>
        <v>0</v>
      </c>
      <c r="E126" s="166">
        <f t="shared" si="76"/>
        <v>0</v>
      </c>
      <c r="F126" s="25">
        <f t="shared" si="77"/>
        <v>0</v>
      </c>
      <c r="G126" s="25"/>
      <c r="H126" s="25"/>
      <c r="I126" s="178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92"/>
      <c r="BA126" s="68">
        <f ca="1">SUM('AC-SVC'!C126)</f>
        <v>0</v>
      </c>
      <c r="BB126" s="68">
        <f ca="1">SUM('AC-SVC'!D126)</f>
        <v>0</v>
      </c>
      <c r="BC126" s="68">
        <f ca="1">SUM('AC-SVC'!E126)</f>
        <v>0</v>
      </c>
      <c r="BD126" s="68">
        <f ca="1">SUM('AC-SVC'!F126)</f>
        <v>0</v>
      </c>
      <c r="BE126" s="68">
        <f ca="1">SUM('AC-SVC'!G126)</f>
        <v>0</v>
      </c>
      <c r="BF126" s="68">
        <f ca="1">SUM('AC-SVC'!H126)</f>
        <v>0</v>
      </c>
      <c r="BG126" s="68">
        <f ca="1">SUM(PT!C126)</f>
        <v>0</v>
      </c>
      <c r="BH126" s="68">
        <f ca="1">SUM(CCLC!C126)</f>
        <v>0</v>
      </c>
      <c r="BI126" s="68">
        <f ca="1">SUM(FC!D126)</f>
        <v>4800</v>
      </c>
      <c r="BJ126" s="68">
        <f ca="1">SUM(FN!G126)</f>
        <v>0</v>
      </c>
      <c r="BK126" s="68">
        <f ca="1">SUM(FS!D126)</f>
        <v>0</v>
      </c>
      <c r="BL126" s="68">
        <f ca="1">SUM(IT!D126)</f>
        <v>0</v>
      </c>
      <c r="BM126" s="92"/>
      <c r="BN126" s="69">
        <f t="shared" si="78"/>
        <v>4800</v>
      </c>
    </row>
    <row r="127" spans="1:66">
      <c r="A127" s="33" t="s">
        <v>58</v>
      </c>
      <c r="B127" s="33" t="s">
        <v>248</v>
      </c>
      <c r="C127" s="25"/>
      <c r="D127" s="25">
        <f t="shared" si="75"/>
        <v>0</v>
      </c>
      <c r="E127" s="166">
        <f t="shared" si="76"/>
        <v>0</v>
      </c>
      <c r="F127" s="25">
        <f t="shared" si="77"/>
        <v>0</v>
      </c>
      <c r="G127" s="25"/>
      <c r="H127" s="25"/>
      <c r="I127" s="178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92"/>
      <c r="BA127" s="68">
        <f ca="1">SUM('AC-SVC'!C127)</f>
        <v>0</v>
      </c>
      <c r="BB127" s="68">
        <f ca="1">SUM('AC-SVC'!D127)</f>
        <v>0</v>
      </c>
      <c r="BC127" s="68">
        <f ca="1">SUM('AC-SVC'!E127)</f>
        <v>0</v>
      </c>
      <c r="BD127" s="68">
        <f ca="1">SUM('AC-SVC'!F127)</f>
        <v>0</v>
      </c>
      <c r="BE127" s="68">
        <f ca="1">SUM('AC-SVC'!G127)</f>
        <v>0</v>
      </c>
      <c r="BF127" s="68">
        <f ca="1">SUM('AC-SVC'!H127)</f>
        <v>0</v>
      </c>
      <c r="BG127" s="68">
        <f ca="1">SUM(PT!C127)</f>
        <v>0</v>
      </c>
      <c r="BH127" s="68">
        <f ca="1">SUM(CCLC!C127)</f>
        <v>6516.3636363636369</v>
      </c>
      <c r="BI127" s="68">
        <f ca="1">SUM(FC!D127)</f>
        <v>0</v>
      </c>
      <c r="BJ127" s="68">
        <f ca="1">SUM(FN!G127)</f>
        <v>0</v>
      </c>
      <c r="BK127" s="68">
        <f ca="1">SUM(FS!D127)</f>
        <v>0</v>
      </c>
      <c r="BL127" s="68">
        <f ca="1">SUM(IT!D127)</f>
        <v>0</v>
      </c>
      <c r="BM127" s="92"/>
      <c r="BN127" s="69">
        <f t="shared" si="78"/>
        <v>6516.3636363636369</v>
      </c>
    </row>
    <row r="128" spans="1:66">
      <c r="A128" s="33" t="s">
        <v>55</v>
      </c>
      <c r="B128" s="33" t="s">
        <v>245</v>
      </c>
      <c r="C128" s="25"/>
      <c r="D128" s="25">
        <f t="shared" si="75"/>
        <v>0</v>
      </c>
      <c r="E128" s="166">
        <f t="shared" si="76"/>
        <v>0</v>
      </c>
      <c r="F128" s="25">
        <f t="shared" si="77"/>
        <v>0</v>
      </c>
      <c r="G128" s="25"/>
      <c r="H128" s="25"/>
      <c r="I128" s="178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92"/>
      <c r="BA128" s="68">
        <f ca="1">SUM('AC-SVC'!C128)</f>
        <v>0</v>
      </c>
      <c r="BB128" s="68">
        <f ca="1">SUM('AC-SVC'!D128)</f>
        <v>0</v>
      </c>
      <c r="BC128" s="68">
        <f ca="1">SUM('AC-SVC'!E128)</f>
        <v>0</v>
      </c>
      <c r="BD128" s="68">
        <f ca="1">SUM('AC-SVC'!F128)</f>
        <v>0</v>
      </c>
      <c r="BE128" s="68">
        <f ca="1">SUM('AC-SVC'!G128)</f>
        <v>0</v>
      </c>
      <c r="BF128" s="68">
        <f ca="1">SUM('AC-SVC'!H128)</f>
        <v>0</v>
      </c>
      <c r="BG128" s="68">
        <f ca="1">SUM(PT!C128)</f>
        <v>0</v>
      </c>
      <c r="BH128" s="68">
        <f ca="1">SUM(CCLC!C128)</f>
        <v>0</v>
      </c>
      <c r="BI128" s="68">
        <f ca="1">SUM(FC!D128)</f>
        <v>5250</v>
      </c>
      <c r="BJ128" s="68">
        <f ca="1">SUM(FN!G128)</f>
        <v>0</v>
      </c>
      <c r="BK128" s="68">
        <f ca="1">SUM(FS!D128)</f>
        <v>0</v>
      </c>
      <c r="BL128" s="68">
        <f ca="1">SUM(IT!D128)</f>
        <v>0</v>
      </c>
      <c r="BM128" s="92"/>
      <c r="BN128" s="69">
        <f t="shared" si="78"/>
        <v>5250</v>
      </c>
    </row>
    <row r="129" spans="1:66" ht="10.5" customHeight="1">
      <c r="A129" s="33" t="s">
        <v>54</v>
      </c>
      <c r="B129" s="33" t="s">
        <v>244</v>
      </c>
      <c r="C129" s="25"/>
      <c r="D129" s="25">
        <f t="shared" si="75"/>
        <v>0</v>
      </c>
      <c r="E129" s="166">
        <f t="shared" si="76"/>
        <v>0</v>
      </c>
      <c r="F129" s="25">
        <f t="shared" si="77"/>
        <v>0</v>
      </c>
      <c r="G129" s="25"/>
      <c r="H129" s="25"/>
      <c r="I129" s="178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92"/>
      <c r="BA129" s="68">
        <f ca="1">SUM('AC-SVC'!C129)</f>
        <v>0</v>
      </c>
      <c r="BB129" s="68">
        <f ca="1">SUM('AC-SVC'!D129)</f>
        <v>0</v>
      </c>
      <c r="BC129" s="68">
        <f ca="1">SUM('AC-SVC'!E129)</f>
        <v>0</v>
      </c>
      <c r="BD129" s="68">
        <f ca="1">SUM('AC-SVC'!F129)</f>
        <v>0</v>
      </c>
      <c r="BE129" s="68">
        <f ca="1">SUM('AC-SVC'!G129)</f>
        <v>0</v>
      </c>
      <c r="BF129" s="68">
        <f ca="1">SUM('AC-SVC'!H129)</f>
        <v>0</v>
      </c>
      <c r="BG129" s="68">
        <f ca="1">SUM(PT!C129)</f>
        <v>0</v>
      </c>
      <c r="BH129" s="68">
        <f ca="1">SUM(CCLC!C129)</f>
        <v>0</v>
      </c>
      <c r="BI129" s="68">
        <f ca="1">SUM(FC!D129)</f>
        <v>50000</v>
      </c>
      <c r="BJ129" s="68">
        <f ca="1">SUM(FN!G129)</f>
        <v>0</v>
      </c>
      <c r="BK129" s="68">
        <f ca="1">SUM(FS!D129)</f>
        <v>0</v>
      </c>
      <c r="BL129" s="68">
        <f ca="1">SUM(IT!D129)</f>
        <v>0</v>
      </c>
      <c r="BM129" s="92"/>
      <c r="BN129" s="69">
        <f t="shared" si="78"/>
        <v>50000</v>
      </c>
    </row>
    <row r="130" spans="1:66">
      <c r="A130" s="33" t="s">
        <v>60</v>
      </c>
      <c r="B130" s="33" t="s">
        <v>61</v>
      </c>
      <c r="C130" s="25">
        <v>20000</v>
      </c>
      <c r="D130" s="25">
        <f t="shared" si="75"/>
        <v>0</v>
      </c>
      <c r="E130" s="166">
        <f t="shared" si="76"/>
        <v>0</v>
      </c>
      <c r="F130" s="25">
        <f t="shared" si="77"/>
        <v>0</v>
      </c>
      <c r="G130" s="25"/>
      <c r="H130" s="25"/>
      <c r="I130" s="178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92"/>
      <c r="BA130" s="68">
        <f ca="1">SUM('AC-SVC'!C130)</f>
        <v>0</v>
      </c>
      <c r="BB130" s="68">
        <f ca="1">SUM('AC-SVC'!D130)</f>
        <v>0</v>
      </c>
      <c r="BC130" s="68">
        <f ca="1">SUM('AC-SVC'!E130)</f>
        <v>0</v>
      </c>
      <c r="BD130" s="68">
        <f ca="1">SUM('AC-SVC'!F130)</f>
        <v>0</v>
      </c>
      <c r="BE130" s="68">
        <f ca="1">SUM('AC-SVC'!G130)</f>
        <v>0</v>
      </c>
      <c r="BF130" s="68">
        <f ca="1">SUM('AC-SVC'!H130)</f>
        <v>0</v>
      </c>
      <c r="BG130" s="68">
        <f ca="1">SUM(PT!C130)</f>
        <v>0</v>
      </c>
      <c r="BH130" s="68">
        <f ca="1">SUM(CCLC!C130)</f>
        <v>0</v>
      </c>
      <c r="BI130" s="68">
        <f ca="1">SUM(FC!D130)</f>
        <v>44274</v>
      </c>
      <c r="BJ130" s="68">
        <f ca="1">SUM(FN!G130)</f>
        <v>0</v>
      </c>
      <c r="BK130" s="68">
        <f ca="1">SUM(FS!D130)</f>
        <v>5675</v>
      </c>
      <c r="BL130" s="68">
        <f ca="1">SUM(IT!D130)</f>
        <v>0</v>
      </c>
      <c r="BM130" s="92"/>
      <c r="BN130" s="69">
        <f t="shared" si="78"/>
        <v>69949</v>
      </c>
    </row>
    <row r="131" spans="1:66">
      <c r="A131" s="33" t="s">
        <v>448</v>
      </c>
      <c r="B131" s="33" t="s">
        <v>449</v>
      </c>
      <c r="C131" s="25">
        <f ca="1">644*SUM!B5</f>
        <v>408940</v>
      </c>
      <c r="D131" s="25">
        <f>SUM(J131:M131)</f>
        <v>0</v>
      </c>
      <c r="E131" s="166">
        <f t="shared" si="76"/>
        <v>0</v>
      </c>
      <c r="F131" s="25">
        <f>SUM(AR131:AY131)</f>
        <v>0</v>
      </c>
      <c r="G131" s="25"/>
      <c r="H131" s="25"/>
      <c r="I131" s="178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92"/>
      <c r="BA131" s="68">
        <f ca="1">SUM('AC-SVC'!C131)</f>
        <v>0</v>
      </c>
      <c r="BB131" s="68">
        <f ca="1">SUM('AC-SVC'!D131)</f>
        <v>0</v>
      </c>
      <c r="BC131" s="68">
        <f ca="1">SUM('AC-SVC'!E131)</f>
        <v>0</v>
      </c>
      <c r="BD131" s="68">
        <f ca="1">SUM('AC-SVC'!F131)</f>
        <v>0</v>
      </c>
      <c r="BE131" s="68">
        <f ca="1">SUM('AC-SVC'!G131)</f>
        <v>0</v>
      </c>
      <c r="BF131" s="68">
        <f ca="1">SUM('AC-SVC'!H131)</f>
        <v>0</v>
      </c>
      <c r="BG131" s="68">
        <f ca="1">SUM(PT!C131)</f>
        <v>0</v>
      </c>
      <c r="BH131" s="68">
        <f ca="1">SUM(CCLC!C131)</f>
        <v>0</v>
      </c>
      <c r="BI131" s="68">
        <f ca="1">SUM(FC!D131)</f>
        <v>0</v>
      </c>
      <c r="BJ131" s="68">
        <f ca="1">SUM(FN!G131)</f>
        <v>0</v>
      </c>
      <c r="BK131" s="68">
        <f ca="1">SUM(FS!D131)</f>
        <v>0</v>
      </c>
      <c r="BL131" s="68">
        <f ca="1">SUM(IT!D131)</f>
        <v>0</v>
      </c>
      <c r="BM131" s="92"/>
      <c r="BN131" s="69">
        <f t="shared" si="78"/>
        <v>408940</v>
      </c>
    </row>
    <row r="132" spans="1:66">
      <c r="A132" s="33" t="s">
        <v>62</v>
      </c>
      <c r="B132" s="33" t="s">
        <v>249</v>
      </c>
      <c r="C132" s="180">
        <f>1300*12+70*4+500*12</f>
        <v>21880</v>
      </c>
      <c r="D132" s="180">
        <f t="shared" si="75"/>
        <v>0</v>
      </c>
      <c r="E132" s="180">
        <f t="shared" si="76"/>
        <v>0</v>
      </c>
      <c r="F132" s="180">
        <f t="shared" si="77"/>
        <v>0</v>
      </c>
      <c r="G132" s="180"/>
      <c r="H132" s="180"/>
      <c r="I132" s="178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92"/>
      <c r="BA132" s="22">
        <f ca="1">SUM('AC-SVC'!C132)</f>
        <v>0</v>
      </c>
      <c r="BB132" s="22">
        <f ca="1">SUM('AC-SVC'!D132)</f>
        <v>0</v>
      </c>
      <c r="BC132" s="22">
        <f ca="1">SUM('AC-SVC'!E132)</f>
        <v>0</v>
      </c>
      <c r="BD132" s="22">
        <f ca="1">SUM('AC-SVC'!F132)</f>
        <v>0</v>
      </c>
      <c r="BE132" s="22">
        <f ca="1">SUM('AC-SVC'!G132)</f>
        <v>0</v>
      </c>
      <c r="BF132" s="22">
        <f ca="1">SUM('AC-SVC'!H132)</f>
        <v>0</v>
      </c>
      <c r="BG132" s="22">
        <f ca="1">SUM(PT!C132)</f>
        <v>0</v>
      </c>
      <c r="BH132" s="22">
        <f ca="1">SUM(CCLC!C132)</f>
        <v>0</v>
      </c>
      <c r="BI132" s="22">
        <f ca="1">SUM(FC!D132)</f>
        <v>1500</v>
      </c>
      <c r="BJ132" s="22">
        <f ca="1">SUM(FN!G132)</f>
        <v>0</v>
      </c>
      <c r="BK132" s="22">
        <f ca="1">SUM(FS!D132)</f>
        <v>0</v>
      </c>
      <c r="BL132" s="22">
        <f ca="1">SUM(IT!D132)</f>
        <v>0</v>
      </c>
      <c r="BM132" s="92"/>
      <c r="BN132" s="70">
        <f t="shared" si="78"/>
        <v>23380</v>
      </c>
    </row>
    <row r="133" spans="1:66">
      <c r="B133" s="33" t="s">
        <v>250</v>
      </c>
      <c r="C133" s="25">
        <f t="shared" ref="C133:AY133" si="79">SUM(C125:C132)</f>
        <v>450820</v>
      </c>
      <c r="D133" s="25">
        <f t="shared" si="79"/>
        <v>0</v>
      </c>
      <c r="E133" s="25">
        <f t="shared" si="79"/>
        <v>0</v>
      </c>
      <c r="F133" s="25">
        <f t="shared" si="79"/>
        <v>0</v>
      </c>
      <c r="G133" s="25">
        <f t="shared" si="79"/>
        <v>0</v>
      </c>
      <c r="H133" s="25">
        <f t="shared" si="79"/>
        <v>0</v>
      </c>
      <c r="I133" s="178"/>
      <c r="J133" s="25">
        <f t="shared" si="79"/>
        <v>0</v>
      </c>
      <c r="K133" s="25">
        <f t="shared" si="79"/>
        <v>0</v>
      </c>
      <c r="L133" s="25">
        <f t="shared" si="79"/>
        <v>0</v>
      </c>
      <c r="M133" s="25">
        <f t="shared" si="79"/>
        <v>0</v>
      </c>
      <c r="N133" s="25">
        <f t="shared" si="79"/>
        <v>0</v>
      </c>
      <c r="O133" s="25">
        <f t="shared" si="79"/>
        <v>0</v>
      </c>
      <c r="P133" s="25">
        <f t="shared" si="79"/>
        <v>0</v>
      </c>
      <c r="Q133" s="25">
        <f t="shared" si="79"/>
        <v>0</v>
      </c>
      <c r="R133" s="25">
        <f t="shared" si="79"/>
        <v>0</v>
      </c>
      <c r="S133" s="25">
        <f t="shared" si="79"/>
        <v>0</v>
      </c>
      <c r="T133" s="25">
        <f t="shared" si="79"/>
        <v>0</v>
      </c>
      <c r="U133" s="25">
        <f t="shared" si="79"/>
        <v>0</v>
      </c>
      <c r="V133" s="25">
        <f t="shared" si="79"/>
        <v>0</v>
      </c>
      <c r="W133" s="25">
        <f t="shared" si="79"/>
        <v>0</v>
      </c>
      <c r="X133" s="25">
        <f t="shared" si="79"/>
        <v>0</v>
      </c>
      <c r="Y133" s="25">
        <f t="shared" si="79"/>
        <v>0</v>
      </c>
      <c r="Z133" s="25">
        <f t="shared" si="79"/>
        <v>0</v>
      </c>
      <c r="AA133" s="25">
        <f t="shared" si="79"/>
        <v>0</v>
      </c>
      <c r="AB133" s="25">
        <f t="shared" si="79"/>
        <v>0</v>
      </c>
      <c r="AC133" s="25">
        <f t="shared" si="79"/>
        <v>0</v>
      </c>
      <c r="AD133" s="25">
        <f t="shared" si="79"/>
        <v>0</v>
      </c>
      <c r="AE133" s="25">
        <f t="shared" si="79"/>
        <v>0</v>
      </c>
      <c r="AF133" s="25">
        <f t="shared" si="79"/>
        <v>0</v>
      </c>
      <c r="AG133" s="25">
        <f t="shared" si="79"/>
        <v>0</v>
      </c>
      <c r="AH133" s="25">
        <f t="shared" si="79"/>
        <v>0</v>
      </c>
      <c r="AI133" s="25">
        <f t="shared" si="79"/>
        <v>0</v>
      </c>
      <c r="AJ133" s="25">
        <f t="shared" si="79"/>
        <v>0</v>
      </c>
      <c r="AK133" s="25">
        <f t="shared" si="79"/>
        <v>0</v>
      </c>
      <c r="AL133" s="25">
        <f t="shared" si="79"/>
        <v>0</v>
      </c>
      <c r="AM133" s="25">
        <f t="shared" si="79"/>
        <v>0</v>
      </c>
      <c r="AN133" s="25">
        <f t="shared" si="79"/>
        <v>0</v>
      </c>
      <c r="AO133" s="25">
        <f t="shared" si="79"/>
        <v>0</v>
      </c>
      <c r="AP133" s="25">
        <f t="shared" si="79"/>
        <v>0</v>
      </c>
      <c r="AQ133" s="25">
        <f t="shared" si="79"/>
        <v>0</v>
      </c>
      <c r="AR133" s="25">
        <f t="shared" si="79"/>
        <v>0</v>
      </c>
      <c r="AS133" s="25">
        <f t="shared" si="79"/>
        <v>0</v>
      </c>
      <c r="AT133" s="25">
        <f t="shared" si="79"/>
        <v>0</v>
      </c>
      <c r="AU133" s="25">
        <f t="shared" si="79"/>
        <v>0</v>
      </c>
      <c r="AV133" s="25">
        <f t="shared" si="79"/>
        <v>0</v>
      </c>
      <c r="AW133" s="25">
        <f t="shared" si="79"/>
        <v>0</v>
      </c>
      <c r="AX133" s="25">
        <f t="shared" si="79"/>
        <v>0</v>
      </c>
      <c r="AY133" s="25">
        <f t="shared" si="79"/>
        <v>0</v>
      </c>
      <c r="AZ133" s="92"/>
      <c r="BA133" s="23">
        <f>SUM(BA125:BA132)</f>
        <v>0</v>
      </c>
      <c r="BB133" s="23">
        <f t="shared" ref="BB133:BL133" si="80">SUM(BB125:BB132)</f>
        <v>0</v>
      </c>
      <c r="BC133" s="23">
        <f t="shared" si="80"/>
        <v>0</v>
      </c>
      <c r="BD133" s="23">
        <f t="shared" si="80"/>
        <v>0</v>
      </c>
      <c r="BE133" s="23">
        <f t="shared" si="80"/>
        <v>0</v>
      </c>
      <c r="BF133" s="23">
        <f t="shared" si="80"/>
        <v>0</v>
      </c>
      <c r="BG133" s="23">
        <f t="shared" si="80"/>
        <v>0</v>
      </c>
      <c r="BH133" s="23">
        <f t="shared" si="80"/>
        <v>6516.3636363636369</v>
      </c>
      <c r="BI133" s="23">
        <f t="shared" si="80"/>
        <v>106304</v>
      </c>
      <c r="BJ133" s="23">
        <f t="shared" si="80"/>
        <v>0</v>
      </c>
      <c r="BK133" s="23">
        <f t="shared" si="80"/>
        <v>5675</v>
      </c>
      <c r="BL133" s="23">
        <f t="shared" si="80"/>
        <v>0</v>
      </c>
      <c r="BM133" s="92"/>
      <c r="BN133" s="56">
        <f>SUM(BN125:BN132)</f>
        <v>569315.36363636365</v>
      </c>
    </row>
    <row r="134" spans="1:66">
      <c r="C134" s="25"/>
      <c r="D134" s="25"/>
      <c r="E134" s="25"/>
      <c r="F134" s="25"/>
      <c r="G134" s="25"/>
      <c r="H134" s="25"/>
      <c r="I134" s="178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92"/>
      <c r="BA134" s="23"/>
      <c r="BB134" s="25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92"/>
    </row>
    <row r="135" spans="1:66">
      <c r="A135" s="33" t="s">
        <v>251</v>
      </c>
      <c r="C135" s="25"/>
      <c r="D135" s="25"/>
      <c r="E135" s="25"/>
      <c r="F135" s="25"/>
      <c r="G135" s="25"/>
      <c r="H135" s="25"/>
      <c r="I135" s="178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92"/>
      <c r="BA135" s="23"/>
      <c r="BB135" s="25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92"/>
    </row>
    <row r="136" spans="1:66">
      <c r="A136" s="33" t="s">
        <v>252</v>
      </c>
      <c r="C136" s="25"/>
      <c r="D136" s="25"/>
      <c r="E136" s="25"/>
      <c r="F136" s="25"/>
      <c r="G136" s="25"/>
      <c r="H136" s="25"/>
      <c r="I136" s="178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92"/>
      <c r="BA136" s="23"/>
      <c r="BB136" s="25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92"/>
    </row>
    <row r="137" spans="1:66">
      <c r="A137" s="33" t="s">
        <v>63</v>
      </c>
      <c r="B137" s="33" t="s">
        <v>253</v>
      </c>
      <c r="C137" s="25"/>
      <c r="D137" s="25">
        <f>SUM(J137:M137)</f>
        <v>0</v>
      </c>
      <c r="E137" s="166">
        <f>SUM(N137:AQ137)</f>
        <v>0</v>
      </c>
      <c r="F137" s="25">
        <f>SUM(AR137:AY137)</f>
        <v>0</v>
      </c>
      <c r="G137" s="25"/>
      <c r="H137" s="25"/>
      <c r="I137" s="178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92"/>
      <c r="BA137" s="68">
        <f ca="1">SUM('AC-SVC'!C137)</f>
        <v>0</v>
      </c>
      <c r="BB137" s="68">
        <f ca="1">SUM('AC-SVC'!D137)</f>
        <v>0</v>
      </c>
      <c r="BC137" s="68">
        <f ca="1">SUM('AC-SVC'!E137)</f>
        <v>0</v>
      </c>
      <c r="BD137" s="68">
        <f ca="1">SUM('AC-SVC'!F137)</f>
        <v>0</v>
      </c>
      <c r="BE137" s="68">
        <f ca="1">SUM('AC-SVC'!G137)</f>
        <v>0</v>
      </c>
      <c r="BF137" s="68">
        <f ca="1">SUM('AC-SVC'!H137)</f>
        <v>0</v>
      </c>
      <c r="BG137" s="68">
        <f ca="1">SUM(PT!C137)</f>
        <v>0</v>
      </c>
      <c r="BH137" s="68">
        <f ca="1">SUM(CCLC!C137)</f>
        <v>0</v>
      </c>
      <c r="BI137" s="68">
        <f ca="1">SUM(FC!D137)</f>
        <v>0</v>
      </c>
      <c r="BJ137" s="68">
        <f ca="1">SUM(FN!G137)</f>
        <v>0</v>
      </c>
      <c r="BK137" s="68">
        <f ca="1">SUM(FS!D137)</f>
        <v>0</v>
      </c>
      <c r="BL137" s="68">
        <f ca="1">SUM(IT!D137)</f>
        <v>0</v>
      </c>
      <c r="BM137" s="92"/>
      <c r="BN137" s="69">
        <f>SUM(C137:H137)+SUM(BA137:BL137)</f>
        <v>0</v>
      </c>
    </row>
    <row r="138" spans="1:66">
      <c r="A138" s="33" t="s">
        <v>64</v>
      </c>
      <c r="B138" s="33" t="s">
        <v>254</v>
      </c>
      <c r="C138" s="25">
        <f ca="1">110*SUM!B5</f>
        <v>69850</v>
      </c>
      <c r="D138" s="25">
        <f>SUM(J138:M138)</f>
        <v>0</v>
      </c>
      <c r="E138" s="166">
        <f>SUM(N138:AQ138)</f>
        <v>0</v>
      </c>
      <c r="F138" s="25">
        <f>SUM(AR138:AY138)</f>
        <v>0</v>
      </c>
      <c r="G138" s="25"/>
      <c r="H138" s="25"/>
      <c r="I138" s="178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92"/>
      <c r="BA138" s="68">
        <f ca="1">SUM('AC-SVC'!C138)</f>
        <v>0</v>
      </c>
      <c r="BB138" s="68">
        <f ca="1">SUM('AC-SVC'!D138)</f>
        <v>0</v>
      </c>
      <c r="BC138" s="68">
        <f ca="1">SUM('AC-SVC'!E138)</f>
        <v>0</v>
      </c>
      <c r="BD138" s="68">
        <f ca="1">SUM('AC-SVC'!F138)</f>
        <v>0</v>
      </c>
      <c r="BE138" s="68">
        <f ca="1">SUM('AC-SVC'!G138)</f>
        <v>0</v>
      </c>
      <c r="BF138" s="68">
        <f ca="1">SUM('AC-SVC'!H138)</f>
        <v>0</v>
      </c>
      <c r="BG138" s="68">
        <f ca="1">SUM(PT!C138)</f>
        <v>0</v>
      </c>
      <c r="BH138" s="68">
        <f ca="1">SUM(CCLC!C138)</f>
        <v>0</v>
      </c>
      <c r="BI138" s="68">
        <f ca="1">SUM(FC!D138)</f>
        <v>50272.974999999999</v>
      </c>
      <c r="BJ138" s="68">
        <f ca="1">SUM(FN!G138)</f>
        <v>0</v>
      </c>
      <c r="BK138" s="68">
        <f ca="1">SUM(FS!D138)</f>
        <v>0</v>
      </c>
      <c r="BL138" s="68">
        <f ca="1">SUM(IT!D138)</f>
        <v>0</v>
      </c>
      <c r="BM138" s="92"/>
      <c r="BN138" s="69">
        <f>SUM(C138:H138)+SUM(BA138:BL138)</f>
        <v>120122.97500000001</v>
      </c>
    </row>
    <row r="139" spans="1:66">
      <c r="A139" s="33" t="s">
        <v>454</v>
      </c>
      <c r="B139" s="33" t="s">
        <v>455</v>
      </c>
      <c r="C139" s="25"/>
      <c r="D139" s="25">
        <f>SUM(J139:M139)</f>
        <v>0</v>
      </c>
      <c r="E139" s="166">
        <f>SUM(N139:AQ139)</f>
        <v>0</v>
      </c>
      <c r="F139" s="25">
        <f>SUM(AR139:AY139)</f>
        <v>0</v>
      </c>
      <c r="G139" s="25"/>
      <c r="H139" s="25"/>
      <c r="I139" s="178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92"/>
      <c r="BA139" s="68">
        <f ca="1">SUM('AC-SVC'!C139)</f>
        <v>0</v>
      </c>
      <c r="BB139" s="68">
        <f ca="1">SUM('AC-SVC'!D139)</f>
        <v>0</v>
      </c>
      <c r="BC139" s="68">
        <f ca="1">SUM('AC-SVC'!E139)</f>
        <v>0</v>
      </c>
      <c r="BD139" s="68">
        <f ca="1">SUM('AC-SVC'!F139)</f>
        <v>0</v>
      </c>
      <c r="BE139" s="68">
        <f ca="1">SUM('AC-SVC'!G139)</f>
        <v>0</v>
      </c>
      <c r="BF139" s="68">
        <f ca="1">SUM('AC-SVC'!H139)</f>
        <v>0</v>
      </c>
      <c r="BG139" s="68">
        <f ca="1">SUM(PT!C139)</f>
        <v>0</v>
      </c>
      <c r="BH139" s="68">
        <f ca="1">SUM(CCLC!C139)</f>
        <v>0</v>
      </c>
      <c r="BI139" s="68">
        <f ca="1">SUM(FC!D139)</f>
        <v>0</v>
      </c>
      <c r="BJ139" s="68">
        <f ca="1">SUM(FN!G139)</f>
        <v>0</v>
      </c>
      <c r="BK139" s="68">
        <f ca="1">SUM(FS!D139)</f>
        <v>0</v>
      </c>
      <c r="BL139" s="68">
        <f ca="1">SUM(IT!D139)</f>
        <v>0</v>
      </c>
      <c r="BM139" s="92"/>
      <c r="BN139" s="69">
        <f>SUM(C139:H139)+SUM(BA139:BL139)</f>
        <v>0</v>
      </c>
    </row>
    <row r="140" spans="1:66">
      <c r="A140" s="33" t="s">
        <v>65</v>
      </c>
      <c r="B140" s="33" t="s">
        <v>255</v>
      </c>
      <c r="C140" s="180"/>
      <c r="D140" s="180">
        <f>SUM(J140:M140)</f>
        <v>0</v>
      </c>
      <c r="E140" s="180">
        <f>SUM(N140:AQ140)</f>
        <v>0</v>
      </c>
      <c r="F140" s="180">
        <f>SUM(AR140:AY140)</f>
        <v>0</v>
      </c>
      <c r="G140" s="180"/>
      <c r="H140" s="180"/>
      <c r="I140" s="178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92"/>
      <c r="BA140" s="22">
        <f ca="1">SUM('AC-SVC'!C140)</f>
        <v>0</v>
      </c>
      <c r="BB140" s="22">
        <f ca="1">SUM('AC-SVC'!D140)</f>
        <v>0</v>
      </c>
      <c r="BC140" s="22">
        <f ca="1">SUM('AC-SVC'!E140)</f>
        <v>0</v>
      </c>
      <c r="BD140" s="22">
        <f ca="1">SUM('AC-SVC'!F140)</f>
        <v>0</v>
      </c>
      <c r="BE140" s="22">
        <f ca="1">SUM('AC-SVC'!G140)</f>
        <v>0</v>
      </c>
      <c r="BF140" s="22">
        <f ca="1">SUM('AC-SVC'!H140)</f>
        <v>0</v>
      </c>
      <c r="BG140" s="22">
        <f ca="1">SUM(PT!C140)</f>
        <v>0</v>
      </c>
      <c r="BH140" s="22">
        <f ca="1">SUM(CCLC!C140)</f>
        <v>0</v>
      </c>
      <c r="BI140" s="22">
        <f ca="1">SUM(FC!D140)</f>
        <v>0</v>
      </c>
      <c r="BJ140" s="22">
        <f ca="1">SUM(FN!G140)</f>
        <v>0</v>
      </c>
      <c r="BK140" s="22">
        <f ca="1">SUM(FS!D140)</f>
        <v>0</v>
      </c>
      <c r="BL140" s="22">
        <f ca="1">SUM(IT!D140)</f>
        <v>0</v>
      </c>
      <c r="BM140" s="92"/>
      <c r="BN140" s="70">
        <f>SUM(C140:H140)+SUM(BA140:BL140)</f>
        <v>0</v>
      </c>
    </row>
    <row r="141" spans="1:66">
      <c r="B141" s="33" t="s">
        <v>256</v>
      </c>
      <c r="C141" s="25">
        <f t="shared" ref="C141:AY141" si="81">SUM(C137:C140)</f>
        <v>69850</v>
      </c>
      <c r="D141" s="25">
        <f t="shared" si="81"/>
        <v>0</v>
      </c>
      <c r="E141" s="25">
        <f t="shared" si="81"/>
        <v>0</v>
      </c>
      <c r="F141" s="25">
        <f t="shared" si="81"/>
        <v>0</v>
      </c>
      <c r="G141" s="25">
        <f t="shared" si="81"/>
        <v>0</v>
      </c>
      <c r="H141" s="25">
        <f t="shared" si="81"/>
        <v>0</v>
      </c>
      <c r="I141" s="178"/>
      <c r="J141" s="25">
        <f t="shared" si="81"/>
        <v>0</v>
      </c>
      <c r="K141" s="25">
        <f t="shared" si="81"/>
        <v>0</v>
      </c>
      <c r="L141" s="25">
        <f t="shared" si="81"/>
        <v>0</v>
      </c>
      <c r="M141" s="25">
        <f t="shared" si="81"/>
        <v>0</v>
      </c>
      <c r="N141" s="25">
        <f t="shared" si="81"/>
        <v>0</v>
      </c>
      <c r="O141" s="25">
        <f t="shared" si="81"/>
        <v>0</v>
      </c>
      <c r="P141" s="25">
        <f t="shared" si="81"/>
        <v>0</v>
      </c>
      <c r="Q141" s="25">
        <f t="shared" si="81"/>
        <v>0</v>
      </c>
      <c r="R141" s="25">
        <f t="shared" si="81"/>
        <v>0</v>
      </c>
      <c r="S141" s="25">
        <f t="shared" si="81"/>
        <v>0</v>
      </c>
      <c r="T141" s="25">
        <f t="shared" si="81"/>
        <v>0</v>
      </c>
      <c r="U141" s="25">
        <f t="shared" si="81"/>
        <v>0</v>
      </c>
      <c r="V141" s="25">
        <f t="shared" si="81"/>
        <v>0</v>
      </c>
      <c r="W141" s="25">
        <f t="shared" si="81"/>
        <v>0</v>
      </c>
      <c r="X141" s="25">
        <f t="shared" si="81"/>
        <v>0</v>
      </c>
      <c r="Y141" s="25">
        <f t="shared" si="81"/>
        <v>0</v>
      </c>
      <c r="Z141" s="25">
        <f t="shared" si="81"/>
        <v>0</v>
      </c>
      <c r="AA141" s="25">
        <f t="shared" si="81"/>
        <v>0</v>
      </c>
      <c r="AB141" s="25">
        <f t="shared" si="81"/>
        <v>0</v>
      </c>
      <c r="AC141" s="25">
        <f t="shared" si="81"/>
        <v>0</v>
      </c>
      <c r="AD141" s="25">
        <f t="shared" si="81"/>
        <v>0</v>
      </c>
      <c r="AE141" s="25">
        <f t="shared" si="81"/>
        <v>0</v>
      </c>
      <c r="AF141" s="25">
        <f t="shared" si="81"/>
        <v>0</v>
      </c>
      <c r="AG141" s="25">
        <f t="shared" si="81"/>
        <v>0</v>
      </c>
      <c r="AH141" s="25">
        <f t="shared" si="81"/>
        <v>0</v>
      </c>
      <c r="AI141" s="25">
        <f t="shared" si="81"/>
        <v>0</v>
      </c>
      <c r="AJ141" s="25">
        <f t="shared" si="81"/>
        <v>0</v>
      </c>
      <c r="AK141" s="25">
        <f t="shared" si="81"/>
        <v>0</v>
      </c>
      <c r="AL141" s="25">
        <f t="shared" si="81"/>
        <v>0</v>
      </c>
      <c r="AM141" s="25">
        <f t="shared" si="81"/>
        <v>0</v>
      </c>
      <c r="AN141" s="25">
        <f t="shared" si="81"/>
        <v>0</v>
      </c>
      <c r="AO141" s="25">
        <f t="shared" si="81"/>
        <v>0</v>
      </c>
      <c r="AP141" s="25">
        <f t="shared" si="81"/>
        <v>0</v>
      </c>
      <c r="AQ141" s="25">
        <f t="shared" si="81"/>
        <v>0</v>
      </c>
      <c r="AR141" s="25">
        <f t="shared" si="81"/>
        <v>0</v>
      </c>
      <c r="AS141" s="25">
        <f t="shared" si="81"/>
        <v>0</v>
      </c>
      <c r="AT141" s="25">
        <f t="shared" si="81"/>
        <v>0</v>
      </c>
      <c r="AU141" s="25">
        <f t="shared" si="81"/>
        <v>0</v>
      </c>
      <c r="AV141" s="25">
        <f t="shared" si="81"/>
        <v>0</v>
      </c>
      <c r="AW141" s="25">
        <f t="shared" si="81"/>
        <v>0</v>
      </c>
      <c r="AX141" s="25">
        <f t="shared" si="81"/>
        <v>0</v>
      </c>
      <c r="AY141" s="25">
        <f t="shared" si="81"/>
        <v>0</v>
      </c>
      <c r="AZ141" s="92"/>
      <c r="BA141" s="23">
        <f t="shared" ref="BA141:BL141" si="82">+SUM(BA137:BA140)</f>
        <v>0</v>
      </c>
      <c r="BB141" s="25">
        <f t="shared" si="82"/>
        <v>0</v>
      </c>
      <c r="BC141" s="23">
        <f t="shared" si="82"/>
        <v>0</v>
      </c>
      <c r="BD141" s="23">
        <f t="shared" si="82"/>
        <v>0</v>
      </c>
      <c r="BE141" s="23">
        <f t="shared" si="82"/>
        <v>0</v>
      </c>
      <c r="BF141" s="23">
        <f t="shared" si="82"/>
        <v>0</v>
      </c>
      <c r="BG141" s="23">
        <f t="shared" si="82"/>
        <v>0</v>
      </c>
      <c r="BH141" s="23">
        <f t="shared" si="82"/>
        <v>0</v>
      </c>
      <c r="BI141" s="23">
        <f t="shared" si="82"/>
        <v>50272.974999999999</v>
      </c>
      <c r="BJ141" s="23">
        <f t="shared" si="82"/>
        <v>0</v>
      </c>
      <c r="BK141" s="23">
        <f t="shared" si="82"/>
        <v>0</v>
      </c>
      <c r="BL141" s="23">
        <f t="shared" si="82"/>
        <v>0</v>
      </c>
      <c r="BM141" s="92"/>
      <c r="BN141" s="56">
        <f>SUM(BN137:BN140)</f>
        <v>120122.97500000001</v>
      </c>
    </row>
    <row r="142" spans="1:66">
      <c r="C142" s="25"/>
      <c r="D142" s="25"/>
      <c r="E142" s="25"/>
      <c r="F142" s="25"/>
      <c r="G142" s="25"/>
      <c r="H142" s="25"/>
      <c r="I142" s="178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92"/>
      <c r="BA142" s="23"/>
      <c r="BB142" s="25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92"/>
    </row>
    <row r="143" spans="1:66">
      <c r="A143" s="33" t="s">
        <v>257</v>
      </c>
      <c r="C143" s="25"/>
      <c r="D143" s="25"/>
      <c r="E143" s="25"/>
      <c r="F143" s="25"/>
      <c r="G143" s="25"/>
      <c r="H143" s="25"/>
      <c r="I143" s="178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92"/>
      <c r="BA143" s="23"/>
      <c r="BB143" s="25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92"/>
    </row>
    <row r="144" spans="1:66">
      <c r="A144" s="33" t="s">
        <v>66</v>
      </c>
      <c r="B144" s="33" t="s">
        <v>258</v>
      </c>
      <c r="C144" s="25"/>
      <c r="D144" s="25">
        <f t="shared" ref="D144:D149" si="83">SUM(J144:M144)</f>
        <v>0</v>
      </c>
      <c r="E144" s="166">
        <f t="shared" ref="E144:E149" si="84">SUM(N144:AQ144)</f>
        <v>0</v>
      </c>
      <c r="F144" s="25">
        <f t="shared" ref="F144:F149" si="85">SUM(AR144:AY144)</f>
        <v>0</v>
      </c>
      <c r="G144" s="25"/>
      <c r="H144" s="25"/>
      <c r="I144" s="178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92"/>
      <c r="BA144" s="68">
        <f ca="1">SUM('AC-SVC'!C144)</f>
        <v>0</v>
      </c>
      <c r="BB144" s="68">
        <f ca="1">SUM('AC-SVC'!D144)</f>
        <v>0</v>
      </c>
      <c r="BC144" s="68">
        <f ca="1">SUM('AC-SVC'!E144)</f>
        <v>0</v>
      </c>
      <c r="BD144" s="68">
        <f ca="1">SUM('AC-SVC'!F144)</f>
        <v>0</v>
      </c>
      <c r="BE144" s="68">
        <f ca="1">SUM('AC-SVC'!G144)</f>
        <v>0</v>
      </c>
      <c r="BF144" s="68">
        <f ca="1">SUM('AC-SVC'!H144)</f>
        <v>0</v>
      </c>
      <c r="BG144" s="68">
        <f ca="1">SUM(PT!C144)</f>
        <v>0</v>
      </c>
      <c r="BH144" s="68">
        <f ca="1">SUM(CCLC!C144)</f>
        <v>0</v>
      </c>
      <c r="BI144" s="68">
        <f ca="1">SUM(FC!D144)</f>
        <v>0</v>
      </c>
      <c r="BJ144" s="68">
        <f ca="1">SUM(FN!G144)</f>
        <v>0</v>
      </c>
      <c r="BK144" s="68">
        <f ca="1">SUM(FS!D144)</f>
        <v>0</v>
      </c>
      <c r="BL144" s="68">
        <f ca="1">SUM(IT!D144)</f>
        <v>4496.3999999999996</v>
      </c>
      <c r="BM144" s="92"/>
      <c r="BN144" s="69">
        <f t="shared" ref="BN144:BN149" si="86">SUM(C144:H144)+SUM(BA144:BL144)</f>
        <v>4496.3999999999996</v>
      </c>
    </row>
    <row r="145" spans="1:66">
      <c r="A145" s="33" t="s">
        <v>67</v>
      </c>
      <c r="B145" s="33" t="s">
        <v>259</v>
      </c>
      <c r="C145" s="25"/>
      <c r="D145" s="25">
        <f t="shared" si="83"/>
        <v>0</v>
      </c>
      <c r="E145" s="166">
        <f t="shared" si="84"/>
        <v>0</v>
      </c>
      <c r="F145" s="25">
        <f t="shared" si="85"/>
        <v>0</v>
      </c>
      <c r="G145" s="25"/>
      <c r="H145" s="25"/>
      <c r="I145" s="178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92"/>
      <c r="BA145" s="68">
        <f ca="1">SUM('AC-SVC'!C145)</f>
        <v>0</v>
      </c>
      <c r="BB145" s="68">
        <f ca="1">SUM('AC-SVC'!D145)</f>
        <v>0</v>
      </c>
      <c r="BC145" s="68">
        <f ca="1">SUM('AC-SVC'!E145)</f>
        <v>0</v>
      </c>
      <c r="BD145" s="68">
        <f ca="1">SUM('AC-SVC'!F145)</f>
        <v>0</v>
      </c>
      <c r="BE145" s="68">
        <f ca="1">SUM('AC-SVC'!G145)</f>
        <v>0</v>
      </c>
      <c r="BF145" s="68">
        <f ca="1">SUM('AC-SVC'!H145)</f>
        <v>0</v>
      </c>
      <c r="BG145" s="68">
        <f ca="1">SUM(PT!C145)</f>
        <v>0</v>
      </c>
      <c r="BH145" s="68">
        <f ca="1">SUM(CCLC!C145)</f>
        <v>0</v>
      </c>
      <c r="BI145" s="68">
        <f ca="1">SUM(FC!D145)</f>
        <v>0</v>
      </c>
      <c r="BJ145" s="68">
        <f ca="1">SUM(FN!G145)</f>
        <v>0</v>
      </c>
      <c r="BK145" s="68">
        <f ca="1">SUM(FS!D145)</f>
        <v>0</v>
      </c>
      <c r="BL145" s="68">
        <f ca="1">SUM(IT!D145)</f>
        <v>0</v>
      </c>
      <c r="BM145" s="92"/>
      <c r="BN145" s="69">
        <f t="shared" si="86"/>
        <v>0</v>
      </c>
    </row>
    <row r="146" spans="1:66">
      <c r="A146" s="33" t="s">
        <v>68</v>
      </c>
      <c r="B146" s="33" t="s">
        <v>260</v>
      </c>
      <c r="C146" s="25"/>
      <c r="D146" s="25">
        <f t="shared" si="83"/>
        <v>0</v>
      </c>
      <c r="E146" s="166">
        <f t="shared" si="84"/>
        <v>0</v>
      </c>
      <c r="F146" s="25">
        <f t="shared" si="85"/>
        <v>0</v>
      </c>
      <c r="G146" s="25">
        <f>55*12*2</f>
        <v>1320</v>
      </c>
      <c r="H146" s="25">
        <f>55*12</f>
        <v>660</v>
      </c>
      <c r="I146" s="178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92"/>
      <c r="BA146" s="68">
        <f ca="1">SUM('AC-SVC'!C146)</f>
        <v>0</v>
      </c>
      <c r="BB146" s="68">
        <f ca="1">SUM('AC-SVC'!D146)</f>
        <v>1320</v>
      </c>
      <c r="BC146" s="68">
        <f ca="1">SUM('AC-SVC'!E146)</f>
        <v>1320</v>
      </c>
      <c r="BD146" s="68">
        <f ca="1">SUM('AC-SVC'!F146)</f>
        <v>1320</v>
      </c>
      <c r="BE146" s="68">
        <f ca="1">SUM('AC-SVC'!G146)</f>
        <v>0</v>
      </c>
      <c r="BF146" s="68">
        <f ca="1">SUM('AC-SVC'!H146)</f>
        <v>660</v>
      </c>
      <c r="BG146" s="68">
        <f ca="1">SUM(PT!C146)</f>
        <v>0</v>
      </c>
      <c r="BH146" s="68">
        <f ca="1">SUM(CCLC!C146)</f>
        <v>0</v>
      </c>
      <c r="BI146" s="68">
        <f ca="1">SUM(FC!D146)</f>
        <v>660</v>
      </c>
      <c r="BJ146" s="68">
        <f ca="1">SUM(FN!G146)</f>
        <v>0</v>
      </c>
      <c r="BK146" s="68">
        <f ca="1">SUM(FS!D146)</f>
        <v>0</v>
      </c>
      <c r="BL146" s="68">
        <f ca="1">SUM(IT!D146)</f>
        <v>768</v>
      </c>
      <c r="BM146" s="92"/>
      <c r="BN146" s="69">
        <f t="shared" si="86"/>
        <v>8028</v>
      </c>
    </row>
    <row r="147" spans="1:66">
      <c r="A147" s="33" t="s">
        <v>69</v>
      </c>
      <c r="B147" s="33" t="s">
        <v>261</v>
      </c>
      <c r="C147" s="25"/>
      <c r="D147" s="25">
        <f t="shared" si="83"/>
        <v>0</v>
      </c>
      <c r="E147" s="166">
        <f t="shared" si="84"/>
        <v>0</v>
      </c>
      <c r="F147" s="25">
        <f t="shared" si="85"/>
        <v>0</v>
      </c>
      <c r="G147" s="25"/>
      <c r="H147" s="25"/>
      <c r="I147" s="178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92"/>
      <c r="BA147" s="68">
        <f ca="1">SUM('AC-SVC'!C147)</f>
        <v>0</v>
      </c>
      <c r="BB147" s="68">
        <f ca="1">SUM('AC-SVC'!D147)</f>
        <v>0</v>
      </c>
      <c r="BC147" s="68">
        <f ca="1">SUM('AC-SVC'!E147)</f>
        <v>0</v>
      </c>
      <c r="BD147" s="68">
        <f ca="1">SUM('AC-SVC'!F147)</f>
        <v>0</v>
      </c>
      <c r="BE147" s="68">
        <f ca="1">SUM('AC-SVC'!G147)</f>
        <v>0</v>
      </c>
      <c r="BF147" s="68">
        <f ca="1">SUM('AC-SVC'!H147)</f>
        <v>0</v>
      </c>
      <c r="BG147" s="68">
        <f ca="1">SUM(PT!C147)</f>
        <v>0</v>
      </c>
      <c r="BH147" s="68">
        <f ca="1">SUM(CCLC!C147)</f>
        <v>0</v>
      </c>
      <c r="BI147" s="68">
        <f ca="1">SUM(FC!D147)</f>
        <v>0</v>
      </c>
      <c r="BJ147" s="68">
        <f ca="1">SUM(FN!G147)</f>
        <v>0</v>
      </c>
      <c r="BK147" s="68">
        <f ca="1">SUM(FS!D147)</f>
        <v>0</v>
      </c>
      <c r="BL147" s="68">
        <f ca="1">SUM(IT!D147)</f>
        <v>10560</v>
      </c>
      <c r="BM147" s="92"/>
      <c r="BN147" s="69">
        <f t="shared" si="86"/>
        <v>10560</v>
      </c>
    </row>
    <row r="148" spans="1:66" ht="12" customHeight="1">
      <c r="A148" s="33" t="s">
        <v>70</v>
      </c>
      <c r="B148" s="33" t="s">
        <v>262</v>
      </c>
      <c r="C148" s="25">
        <f>300*12</f>
        <v>3600</v>
      </c>
      <c r="D148" s="25">
        <f t="shared" si="83"/>
        <v>0</v>
      </c>
      <c r="E148" s="166">
        <f t="shared" si="84"/>
        <v>0</v>
      </c>
      <c r="F148" s="25">
        <f t="shared" si="85"/>
        <v>0</v>
      </c>
      <c r="G148" s="25"/>
      <c r="H148" s="25"/>
      <c r="I148" s="178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92"/>
      <c r="BA148" s="68">
        <f ca="1">SUM('AC-SVC'!C148)</f>
        <v>0</v>
      </c>
      <c r="BB148" s="68">
        <f ca="1">SUM('AC-SVC'!D148)</f>
        <v>0</v>
      </c>
      <c r="BC148" s="68">
        <f ca="1">SUM('AC-SVC'!E148)</f>
        <v>0</v>
      </c>
      <c r="BD148" s="68">
        <f ca="1">SUM('AC-SVC'!F148)</f>
        <v>0</v>
      </c>
      <c r="BE148" s="68">
        <f ca="1">SUM('AC-SVC'!G148)</f>
        <v>0</v>
      </c>
      <c r="BF148" s="68">
        <f ca="1">SUM('AC-SVC'!H148)</f>
        <v>0</v>
      </c>
      <c r="BG148" s="68">
        <f ca="1">SUM(PT!C148)</f>
        <v>0</v>
      </c>
      <c r="BH148" s="68">
        <f ca="1">SUM(CCLC!C148)</f>
        <v>0</v>
      </c>
      <c r="BI148" s="68">
        <f ca="1">SUM(FC!D148)</f>
        <v>0</v>
      </c>
      <c r="BJ148" s="68">
        <f ca="1">SUM(FN!G148)</f>
        <v>0</v>
      </c>
      <c r="BK148" s="68">
        <f ca="1">SUM(FS!D148)</f>
        <v>0</v>
      </c>
      <c r="BL148" s="68">
        <f ca="1">SUM(IT!D148)</f>
        <v>0</v>
      </c>
      <c r="BM148" s="92"/>
      <c r="BN148" s="69">
        <f t="shared" si="86"/>
        <v>3600</v>
      </c>
    </row>
    <row r="149" spans="1:66">
      <c r="A149" s="33" t="s">
        <v>462</v>
      </c>
      <c r="B149" s="33" t="s">
        <v>464</v>
      </c>
      <c r="C149" s="180"/>
      <c r="D149" s="180">
        <f t="shared" si="83"/>
        <v>0</v>
      </c>
      <c r="E149" s="180">
        <f t="shared" si="84"/>
        <v>0</v>
      </c>
      <c r="F149" s="180">
        <f t="shared" si="85"/>
        <v>0</v>
      </c>
      <c r="G149" s="180"/>
      <c r="H149" s="180"/>
      <c r="I149" s="178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92"/>
      <c r="BA149" s="22">
        <f ca="1">SUM('AC-SVC'!C149)</f>
        <v>0</v>
      </c>
      <c r="BB149" s="22">
        <f ca="1">SUM('AC-SVC'!D149)</f>
        <v>0</v>
      </c>
      <c r="BC149" s="22">
        <f ca="1">SUM('AC-SVC'!E149)</f>
        <v>0</v>
      </c>
      <c r="BD149" s="22">
        <f ca="1">SUM('AC-SVC'!F149)</f>
        <v>0</v>
      </c>
      <c r="BE149" s="22">
        <f ca="1">SUM('AC-SVC'!G149)</f>
        <v>0</v>
      </c>
      <c r="BF149" s="22">
        <f ca="1">SUM('AC-SVC'!H149)</f>
        <v>0</v>
      </c>
      <c r="BG149" s="22">
        <f ca="1">SUM(PT!C149)</f>
        <v>0</v>
      </c>
      <c r="BH149" s="22">
        <f ca="1">SUM(CCLC!C149)</f>
        <v>0</v>
      </c>
      <c r="BI149" s="22">
        <f ca="1">SUM(FC!D149)</f>
        <v>0</v>
      </c>
      <c r="BJ149" s="22">
        <f ca="1">SUM(FN!G149)</f>
        <v>0</v>
      </c>
      <c r="BK149" s="22">
        <f ca="1">SUM(FS!D149)</f>
        <v>0</v>
      </c>
      <c r="BL149" s="22">
        <f ca="1">SUM(IT!D149)</f>
        <v>9782</v>
      </c>
      <c r="BM149" s="92"/>
      <c r="BN149" s="70">
        <f t="shared" si="86"/>
        <v>9782</v>
      </c>
    </row>
    <row r="150" spans="1:66">
      <c r="B150" s="33" t="s">
        <v>263</v>
      </c>
      <c r="C150" s="25">
        <f t="shared" ref="C150:AY150" si="87">SUM(C144:C149)</f>
        <v>3600</v>
      </c>
      <c r="D150" s="25">
        <f t="shared" si="87"/>
        <v>0</v>
      </c>
      <c r="E150" s="25">
        <f t="shared" si="87"/>
        <v>0</v>
      </c>
      <c r="F150" s="25">
        <f t="shared" si="87"/>
        <v>0</v>
      </c>
      <c r="G150" s="25">
        <f t="shared" si="87"/>
        <v>1320</v>
      </c>
      <c r="H150" s="25">
        <f t="shared" si="87"/>
        <v>660</v>
      </c>
      <c r="I150" s="178"/>
      <c r="J150" s="25">
        <f t="shared" si="87"/>
        <v>0</v>
      </c>
      <c r="K150" s="25">
        <f t="shared" si="87"/>
        <v>0</v>
      </c>
      <c r="L150" s="25">
        <f t="shared" si="87"/>
        <v>0</v>
      </c>
      <c r="M150" s="25">
        <f t="shared" si="87"/>
        <v>0</v>
      </c>
      <c r="N150" s="25">
        <f t="shared" si="87"/>
        <v>0</v>
      </c>
      <c r="O150" s="25">
        <f t="shared" si="87"/>
        <v>0</v>
      </c>
      <c r="P150" s="25">
        <f t="shared" si="87"/>
        <v>0</v>
      </c>
      <c r="Q150" s="25">
        <f t="shared" si="87"/>
        <v>0</v>
      </c>
      <c r="R150" s="25">
        <f t="shared" si="87"/>
        <v>0</v>
      </c>
      <c r="S150" s="25">
        <f t="shared" si="87"/>
        <v>0</v>
      </c>
      <c r="T150" s="25">
        <f t="shared" si="87"/>
        <v>0</v>
      </c>
      <c r="U150" s="25">
        <f t="shared" si="87"/>
        <v>0</v>
      </c>
      <c r="V150" s="25">
        <f t="shared" si="87"/>
        <v>0</v>
      </c>
      <c r="W150" s="25">
        <f t="shared" si="87"/>
        <v>0</v>
      </c>
      <c r="X150" s="25">
        <f t="shared" si="87"/>
        <v>0</v>
      </c>
      <c r="Y150" s="25">
        <f t="shared" si="87"/>
        <v>0</v>
      </c>
      <c r="Z150" s="25">
        <f t="shared" si="87"/>
        <v>0</v>
      </c>
      <c r="AA150" s="25">
        <f t="shared" si="87"/>
        <v>0</v>
      </c>
      <c r="AB150" s="25">
        <f t="shared" si="87"/>
        <v>0</v>
      </c>
      <c r="AC150" s="25">
        <f t="shared" si="87"/>
        <v>0</v>
      </c>
      <c r="AD150" s="25">
        <f t="shared" si="87"/>
        <v>0</v>
      </c>
      <c r="AE150" s="25">
        <f t="shared" si="87"/>
        <v>0</v>
      </c>
      <c r="AF150" s="25">
        <f t="shared" si="87"/>
        <v>0</v>
      </c>
      <c r="AG150" s="25">
        <f t="shared" si="87"/>
        <v>0</v>
      </c>
      <c r="AH150" s="25">
        <f t="shared" si="87"/>
        <v>0</v>
      </c>
      <c r="AI150" s="25">
        <f t="shared" si="87"/>
        <v>0</v>
      </c>
      <c r="AJ150" s="25">
        <f t="shared" si="87"/>
        <v>0</v>
      </c>
      <c r="AK150" s="25">
        <f t="shared" si="87"/>
        <v>0</v>
      </c>
      <c r="AL150" s="25">
        <f t="shared" si="87"/>
        <v>0</v>
      </c>
      <c r="AM150" s="25">
        <f t="shared" si="87"/>
        <v>0</v>
      </c>
      <c r="AN150" s="25">
        <f t="shared" si="87"/>
        <v>0</v>
      </c>
      <c r="AO150" s="25">
        <f t="shared" si="87"/>
        <v>0</v>
      </c>
      <c r="AP150" s="25">
        <f t="shared" si="87"/>
        <v>0</v>
      </c>
      <c r="AQ150" s="25">
        <f t="shared" si="87"/>
        <v>0</v>
      </c>
      <c r="AR150" s="25">
        <f t="shared" si="87"/>
        <v>0</v>
      </c>
      <c r="AS150" s="25">
        <f t="shared" si="87"/>
        <v>0</v>
      </c>
      <c r="AT150" s="25">
        <f t="shared" si="87"/>
        <v>0</v>
      </c>
      <c r="AU150" s="25">
        <f t="shared" si="87"/>
        <v>0</v>
      </c>
      <c r="AV150" s="25">
        <f t="shared" si="87"/>
        <v>0</v>
      </c>
      <c r="AW150" s="25">
        <f t="shared" si="87"/>
        <v>0</v>
      </c>
      <c r="AX150" s="25">
        <f t="shared" si="87"/>
        <v>0</v>
      </c>
      <c r="AY150" s="25">
        <f t="shared" si="87"/>
        <v>0</v>
      </c>
      <c r="AZ150" s="92"/>
      <c r="BA150" s="23">
        <f t="shared" ref="BA150:BG150" si="88">+SUM(BA144:BA149)</f>
        <v>0</v>
      </c>
      <c r="BB150" s="25">
        <f t="shared" si="88"/>
        <v>1320</v>
      </c>
      <c r="BC150" s="23">
        <f t="shared" si="88"/>
        <v>1320</v>
      </c>
      <c r="BD150" s="23">
        <f t="shared" si="88"/>
        <v>1320</v>
      </c>
      <c r="BE150" s="23">
        <f t="shared" si="88"/>
        <v>0</v>
      </c>
      <c r="BF150" s="23">
        <f t="shared" si="88"/>
        <v>660</v>
      </c>
      <c r="BG150" s="23">
        <f t="shared" si="88"/>
        <v>0</v>
      </c>
      <c r="BH150" s="23">
        <f>+SUM(BH144:BH149)</f>
        <v>0</v>
      </c>
      <c r="BI150" s="23">
        <f>+SUM(BI144:BI149)</f>
        <v>660</v>
      </c>
      <c r="BJ150" s="23">
        <f>+SUM(BJ144:BJ149)</f>
        <v>0</v>
      </c>
      <c r="BK150" s="23">
        <f>+SUM(BK144:BK149)</f>
        <v>0</v>
      </c>
      <c r="BL150" s="23">
        <f>+SUM(BL144:BL149)</f>
        <v>25606.400000000001</v>
      </c>
      <c r="BM150" s="92"/>
      <c r="BN150" s="56">
        <f>SUM(BN144:BN149)</f>
        <v>36466.400000000001</v>
      </c>
    </row>
    <row r="151" spans="1:66">
      <c r="C151" s="25"/>
      <c r="D151" s="25"/>
      <c r="E151" s="25"/>
      <c r="F151" s="25"/>
      <c r="G151" s="25"/>
      <c r="H151" s="25"/>
      <c r="I151" s="178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92"/>
      <c r="BA151" s="23"/>
      <c r="BB151" s="25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92"/>
    </row>
    <row r="152" spans="1:66">
      <c r="A152" s="33" t="s">
        <v>264</v>
      </c>
      <c r="C152" s="25"/>
      <c r="D152" s="25"/>
      <c r="E152" s="25"/>
      <c r="F152" s="25"/>
      <c r="G152" s="25"/>
      <c r="H152" s="25"/>
      <c r="I152" s="178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92"/>
      <c r="BA152" s="23"/>
      <c r="BB152" s="25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92"/>
    </row>
    <row r="153" spans="1:66">
      <c r="A153" s="33" t="s">
        <v>265</v>
      </c>
      <c r="C153" s="25"/>
      <c r="D153" s="25"/>
      <c r="E153" s="25"/>
      <c r="F153" s="25"/>
      <c r="G153" s="25"/>
      <c r="H153" s="25"/>
      <c r="I153" s="178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92"/>
      <c r="BA153" s="23"/>
      <c r="BB153" s="25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92"/>
    </row>
    <row r="154" spans="1:66">
      <c r="A154" s="33" t="s">
        <v>71</v>
      </c>
      <c r="B154" s="33" t="s">
        <v>72</v>
      </c>
      <c r="C154" s="180"/>
      <c r="D154" s="180">
        <f>SUM(J154:M154)</f>
        <v>600</v>
      </c>
      <c r="E154" s="180">
        <f>SUM(N154:AQ154)</f>
        <v>4500</v>
      </c>
      <c r="F154" s="180">
        <f>SUM(AR154:AY154)</f>
        <v>1200</v>
      </c>
      <c r="G154" s="180">
        <v>500</v>
      </c>
      <c r="H154" s="180">
        <v>250</v>
      </c>
      <c r="I154" s="178"/>
      <c r="J154" s="180">
        <v>150</v>
      </c>
      <c r="K154" s="180">
        <v>150</v>
      </c>
      <c r="L154" s="180">
        <v>150</v>
      </c>
      <c r="M154" s="180">
        <v>150</v>
      </c>
      <c r="N154" s="180">
        <v>150</v>
      </c>
      <c r="O154" s="180">
        <v>150</v>
      </c>
      <c r="P154" s="180">
        <v>150</v>
      </c>
      <c r="Q154" s="180">
        <v>150</v>
      </c>
      <c r="R154" s="180">
        <v>150</v>
      </c>
      <c r="S154" s="180">
        <v>150</v>
      </c>
      <c r="T154" s="180">
        <v>150</v>
      </c>
      <c r="U154" s="180">
        <v>150</v>
      </c>
      <c r="V154" s="180">
        <v>150</v>
      </c>
      <c r="W154" s="180">
        <v>150</v>
      </c>
      <c r="X154" s="180">
        <v>150</v>
      </c>
      <c r="Y154" s="180">
        <v>150</v>
      </c>
      <c r="Z154" s="180">
        <v>150</v>
      </c>
      <c r="AA154" s="180">
        <v>150</v>
      </c>
      <c r="AB154" s="180">
        <v>150</v>
      </c>
      <c r="AC154" s="180">
        <v>150</v>
      </c>
      <c r="AD154" s="180">
        <v>150</v>
      </c>
      <c r="AE154" s="180">
        <v>150</v>
      </c>
      <c r="AF154" s="180">
        <v>150</v>
      </c>
      <c r="AG154" s="180">
        <v>150</v>
      </c>
      <c r="AH154" s="180">
        <v>150</v>
      </c>
      <c r="AI154" s="180">
        <v>150</v>
      </c>
      <c r="AJ154" s="180">
        <v>150</v>
      </c>
      <c r="AK154" s="180">
        <v>150</v>
      </c>
      <c r="AL154" s="180">
        <v>150</v>
      </c>
      <c r="AM154" s="180">
        <v>150</v>
      </c>
      <c r="AN154" s="180">
        <v>150</v>
      </c>
      <c r="AO154" s="180">
        <v>150</v>
      </c>
      <c r="AP154" s="180">
        <v>150</v>
      </c>
      <c r="AQ154" s="180">
        <v>150</v>
      </c>
      <c r="AR154" s="180">
        <v>150</v>
      </c>
      <c r="AS154" s="180">
        <v>150</v>
      </c>
      <c r="AT154" s="180">
        <v>150</v>
      </c>
      <c r="AU154" s="180">
        <v>150</v>
      </c>
      <c r="AV154" s="180">
        <v>150</v>
      </c>
      <c r="AW154" s="180">
        <v>150</v>
      </c>
      <c r="AX154" s="180">
        <v>150</v>
      </c>
      <c r="AY154" s="180">
        <v>150</v>
      </c>
      <c r="AZ154" s="92"/>
      <c r="BA154" s="22">
        <f ca="1">SUM('AC-SVC'!C154)</f>
        <v>500</v>
      </c>
      <c r="BB154" s="22">
        <f ca="1">SUM('AC-SVC'!D154)</f>
        <v>750</v>
      </c>
      <c r="BC154" s="22">
        <f ca="1">SUM('AC-SVC'!E154)</f>
        <v>750</v>
      </c>
      <c r="BD154" s="22">
        <f ca="1">SUM('AC-SVC'!F154)</f>
        <v>750</v>
      </c>
      <c r="BE154" s="22">
        <f ca="1">SUM('AC-SVC'!G154)</f>
        <v>500</v>
      </c>
      <c r="BF154" s="22">
        <f ca="1">SUM('AC-SVC'!H154)*BF7</f>
        <v>600</v>
      </c>
      <c r="BG154" s="22">
        <f ca="1">SUM(PT!C154)</f>
        <v>0</v>
      </c>
      <c r="BH154" s="22">
        <f ca="1">SUM(CCLC!C154)</f>
        <v>848.4848484848485</v>
      </c>
      <c r="BI154" s="22">
        <f ca="1">SUM(FC!D154)</f>
        <v>400</v>
      </c>
      <c r="BJ154" s="22">
        <f ca="1">SUM(FN!G154)*BJ7</f>
        <v>0</v>
      </c>
      <c r="BK154" s="22">
        <f ca="1">SUM(FS!D154)</f>
        <v>200</v>
      </c>
      <c r="BL154" s="22">
        <f ca="1">SUM(IT!D154)</f>
        <v>1000</v>
      </c>
      <c r="BM154" s="92"/>
      <c r="BN154" s="70">
        <f>SUM(C154:H154)+SUM(BA154:BL154)</f>
        <v>13348.484848484848</v>
      </c>
    </row>
    <row r="155" spans="1:66">
      <c r="B155" s="33" t="s">
        <v>266</v>
      </c>
      <c r="C155" s="25">
        <f t="shared" ref="C155:AY155" si="89">SUM(C154)</f>
        <v>0</v>
      </c>
      <c r="D155" s="25">
        <f t="shared" si="89"/>
        <v>600</v>
      </c>
      <c r="E155" s="25">
        <f t="shared" si="89"/>
        <v>4500</v>
      </c>
      <c r="F155" s="25">
        <f t="shared" si="89"/>
        <v>1200</v>
      </c>
      <c r="G155" s="25">
        <f t="shared" si="89"/>
        <v>500</v>
      </c>
      <c r="H155" s="25">
        <f t="shared" si="89"/>
        <v>250</v>
      </c>
      <c r="I155" s="178"/>
      <c r="J155" s="25">
        <f t="shared" si="89"/>
        <v>150</v>
      </c>
      <c r="K155" s="25">
        <f t="shared" si="89"/>
        <v>150</v>
      </c>
      <c r="L155" s="25">
        <f t="shared" si="89"/>
        <v>150</v>
      </c>
      <c r="M155" s="25">
        <f t="shared" si="89"/>
        <v>150</v>
      </c>
      <c r="N155" s="25">
        <f t="shared" si="89"/>
        <v>150</v>
      </c>
      <c r="O155" s="25">
        <f t="shared" si="89"/>
        <v>150</v>
      </c>
      <c r="P155" s="25">
        <f t="shared" si="89"/>
        <v>150</v>
      </c>
      <c r="Q155" s="25">
        <f t="shared" si="89"/>
        <v>150</v>
      </c>
      <c r="R155" s="25">
        <f t="shared" si="89"/>
        <v>150</v>
      </c>
      <c r="S155" s="25">
        <f t="shared" si="89"/>
        <v>150</v>
      </c>
      <c r="T155" s="25">
        <f t="shared" si="89"/>
        <v>150</v>
      </c>
      <c r="U155" s="25">
        <f t="shared" si="89"/>
        <v>150</v>
      </c>
      <c r="V155" s="25">
        <f t="shared" si="89"/>
        <v>150</v>
      </c>
      <c r="W155" s="25">
        <f t="shared" si="89"/>
        <v>150</v>
      </c>
      <c r="X155" s="25">
        <f t="shared" si="89"/>
        <v>150</v>
      </c>
      <c r="Y155" s="25">
        <f t="shared" si="89"/>
        <v>150</v>
      </c>
      <c r="Z155" s="25">
        <f t="shared" si="89"/>
        <v>150</v>
      </c>
      <c r="AA155" s="25">
        <f t="shared" si="89"/>
        <v>150</v>
      </c>
      <c r="AB155" s="25">
        <f t="shared" si="89"/>
        <v>150</v>
      </c>
      <c r="AC155" s="25">
        <f t="shared" si="89"/>
        <v>150</v>
      </c>
      <c r="AD155" s="25">
        <f t="shared" si="89"/>
        <v>150</v>
      </c>
      <c r="AE155" s="25">
        <f t="shared" si="89"/>
        <v>150</v>
      </c>
      <c r="AF155" s="25">
        <f t="shared" si="89"/>
        <v>150</v>
      </c>
      <c r="AG155" s="25">
        <f t="shared" si="89"/>
        <v>150</v>
      </c>
      <c r="AH155" s="25">
        <f t="shared" si="89"/>
        <v>150</v>
      </c>
      <c r="AI155" s="25">
        <f t="shared" si="89"/>
        <v>150</v>
      </c>
      <c r="AJ155" s="25">
        <f t="shared" si="89"/>
        <v>150</v>
      </c>
      <c r="AK155" s="25">
        <f t="shared" si="89"/>
        <v>150</v>
      </c>
      <c r="AL155" s="25">
        <f t="shared" si="89"/>
        <v>150</v>
      </c>
      <c r="AM155" s="25">
        <f t="shared" si="89"/>
        <v>150</v>
      </c>
      <c r="AN155" s="25">
        <f t="shared" si="89"/>
        <v>150</v>
      </c>
      <c r="AO155" s="25">
        <f t="shared" si="89"/>
        <v>150</v>
      </c>
      <c r="AP155" s="25">
        <f t="shared" si="89"/>
        <v>150</v>
      </c>
      <c r="AQ155" s="25">
        <f t="shared" si="89"/>
        <v>150</v>
      </c>
      <c r="AR155" s="25">
        <f t="shared" si="89"/>
        <v>150</v>
      </c>
      <c r="AS155" s="25">
        <f t="shared" si="89"/>
        <v>150</v>
      </c>
      <c r="AT155" s="25">
        <f t="shared" si="89"/>
        <v>150</v>
      </c>
      <c r="AU155" s="25">
        <f t="shared" si="89"/>
        <v>150</v>
      </c>
      <c r="AV155" s="25">
        <f t="shared" si="89"/>
        <v>150</v>
      </c>
      <c r="AW155" s="25">
        <f t="shared" si="89"/>
        <v>150</v>
      </c>
      <c r="AX155" s="25">
        <f t="shared" si="89"/>
        <v>150</v>
      </c>
      <c r="AY155" s="25">
        <f t="shared" si="89"/>
        <v>150</v>
      </c>
      <c r="AZ155" s="92"/>
      <c r="BA155" s="23">
        <f t="shared" ref="BA155:BG155" si="90">SUM(BA154)</f>
        <v>500</v>
      </c>
      <c r="BB155" s="23">
        <f t="shared" si="90"/>
        <v>750</v>
      </c>
      <c r="BC155" s="23">
        <f t="shared" si="90"/>
        <v>750</v>
      </c>
      <c r="BD155" s="23">
        <f t="shared" si="90"/>
        <v>750</v>
      </c>
      <c r="BE155" s="23">
        <f t="shared" si="90"/>
        <v>500</v>
      </c>
      <c r="BF155" s="23">
        <f t="shared" si="90"/>
        <v>600</v>
      </c>
      <c r="BG155" s="23">
        <f t="shared" si="90"/>
        <v>0</v>
      </c>
      <c r="BH155" s="23">
        <f>SUM(BH154)</f>
        <v>848.4848484848485</v>
      </c>
      <c r="BI155" s="23">
        <f>SUM(BI154)</f>
        <v>400</v>
      </c>
      <c r="BJ155" s="23">
        <f>SUM(BJ154)</f>
        <v>0</v>
      </c>
      <c r="BK155" s="23">
        <f>SUM(BK154)</f>
        <v>200</v>
      </c>
      <c r="BL155" s="23">
        <f>SUM(BL154)</f>
        <v>1000</v>
      </c>
      <c r="BM155" s="92"/>
      <c r="BN155" s="56">
        <f>SUM(BN154)</f>
        <v>13348.484848484848</v>
      </c>
    </row>
    <row r="156" spans="1:66">
      <c r="C156" s="25"/>
      <c r="D156" s="25"/>
      <c r="E156" s="25"/>
      <c r="F156" s="25"/>
      <c r="G156" s="25"/>
      <c r="H156" s="25"/>
      <c r="I156" s="178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92"/>
      <c r="BA156" s="23"/>
      <c r="BB156" s="25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92"/>
    </row>
    <row r="157" spans="1:66">
      <c r="A157" s="33" t="s">
        <v>267</v>
      </c>
      <c r="C157" s="25"/>
      <c r="D157" s="25"/>
      <c r="E157" s="25"/>
      <c r="F157" s="25"/>
      <c r="G157" s="25"/>
      <c r="H157" s="25"/>
      <c r="I157" s="178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92"/>
      <c r="BA157" s="23"/>
      <c r="BB157" s="25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92"/>
    </row>
    <row r="158" spans="1:66">
      <c r="A158" s="33" t="s">
        <v>73</v>
      </c>
      <c r="B158" s="33" t="s">
        <v>74</v>
      </c>
      <c r="C158" s="25">
        <f>650*10</f>
        <v>6500</v>
      </c>
      <c r="D158" s="25">
        <f t="shared" ref="D158:D170" si="91">SUM(J158:M158)</f>
        <v>6000</v>
      </c>
      <c r="E158" s="166">
        <f t="shared" ref="E158:E170" si="92">SUM(N158:AQ158)</f>
        <v>41000</v>
      </c>
      <c r="F158" s="25">
        <f t="shared" ref="F158:F170" si="93">SUM(AR158:AY158)</f>
        <v>12000</v>
      </c>
      <c r="G158" s="25">
        <f>1500+1000</f>
        <v>2500</v>
      </c>
      <c r="H158" s="25">
        <v>1000</v>
      </c>
      <c r="I158" s="178"/>
      <c r="J158" s="25">
        <v>1500</v>
      </c>
      <c r="K158" s="25">
        <v>1500</v>
      </c>
      <c r="L158" s="25">
        <v>1500</v>
      </c>
      <c r="M158" s="25">
        <v>1500</v>
      </c>
      <c r="N158" s="25">
        <v>1500</v>
      </c>
      <c r="O158" s="25">
        <v>1500</v>
      </c>
      <c r="P158" s="25">
        <v>1500</v>
      </c>
      <c r="Q158" s="25">
        <v>1500</v>
      </c>
      <c r="R158" s="25">
        <v>1500</v>
      </c>
      <c r="S158" s="25">
        <v>1500</v>
      </c>
      <c r="T158" s="25">
        <v>1500</v>
      </c>
      <c r="U158" s="25">
        <v>1500</v>
      </c>
      <c r="V158" s="25">
        <v>500</v>
      </c>
      <c r="W158" s="25">
        <v>1500</v>
      </c>
      <c r="X158" s="25">
        <v>1500</v>
      </c>
      <c r="Y158" s="25">
        <v>1500</v>
      </c>
      <c r="Z158" s="25">
        <v>1500</v>
      </c>
      <c r="AA158" s="25">
        <v>500</v>
      </c>
      <c r="AB158" s="25">
        <v>1500</v>
      </c>
      <c r="AC158" s="25">
        <v>1500</v>
      </c>
      <c r="AD158" s="25">
        <v>1500</v>
      </c>
      <c r="AE158" s="25">
        <v>1500</v>
      </c>
      <c r="AF158" s="25">
        <v>500</v>
      </c>
      <c r="AG158" s="25">
        <v>1500</v>
      </c>
      <c r="AH158" s="25">
        <v>1500</v>
      </c>
      <c r="AI158" s="25">
        <v>1500</v>
      </c>
      <c r="AJ158" s="25">
        <v>1500</v>
      </c>
      <c r="AK158" s="25">
        <v>500</v>
      </c>
      <c r="AL158" s="25">
        <v>1500</v>
      </c>
      <c r="AM158" s="25">
        <v>1500</v>
      </c>
      <c r="AN158" s="25">
        <v>1500</v>
      </c>
      <c r="AO158" s="25">
        <v>1500</v>
      </c>
      <c r="AP158" s="25">
        <v>1500</v>
      </c>
      <c r="AQ158" s="25">
        <v>1500</v>
      </c>
      <c r="AR158" s="25">
        <v>1500</v>
      </c>
      <c r="AS158" s="25">
        <v>1500</v>
      </c>
      <c r="AT158" s="25">
        <v>1500</v>
      </c>
      <c r="AU158" s="25">
        <v>1500</v>
      </c>
      <c r="AV158" s="25">
        <v>1500</v>
      </c>
      <c r="AW158" s="25">
        <v>1500</v>
      </c>
      <c r="AX158" s="25">
        <v>1500</v>
      </c>
      <c r="AY158" s="25">
        <v>1500</v>
      </c>
      <c r="AZ158" s="92"/>
      <c r="BA158" s="68">
        <f ca="1">SUM('AC-SVC'!C158)</f>
        <v>8650</v>
      </c>
      <c r="BB158" s="68">
        <f ca="1">SUM('AC-SVC'!D158)</f>
        <v>3000</v>
      </c>
      <c r="BC158" s="68">
        <f ca="1">SUM('AC-SVC'!E158)</f>
        <v>1500</v>
      </c>
      <c r="BD158" s="68">
        <f ca="1">SUM('AC-SVC'!F158)</f>
        <v>4400</v>
      </c>
      <c r="BE158" s="68">
        <f ca="1">SUM('AC-SVC'!G158)</f>
        <v>700</v>
      </c>
      <c r="BF158" s="68">
        <f ca="1">SUM('AC-SVC'!H158)*BF7</f>
        <v>1000</v>
      </c>
      <c r="BG158" s="68">
        <f ca="1">SUM(PT!C158)</f>
        <v>2300</v>
      </c>
      <c r="BH158" s="68">
        <f ca="1">SUM(CCLC!C158)</f>
        <v>9139.0303030303039</v>
      </c>
      <c r="BI158" s="68">
        <f ca="1">SUM(FC!D158)</f>
        <v>30000</v>
      </c>
      <c r="BJ158" s="68">
        <f ca="1">SUM(FN!G158)*BJ7</f>
        <v>0</v>
      </c>
      <c r="BK158" s="68">
        <f ca="1">SUM(FS!D158)</f>
        <v>17280</v>
      </c>
      <c r="BL158" s="68">
        <f ca="1">SUM(IT!D158)</f>
        <v>0</v>
      </c>
      <c r="BM158" s="92"/>
      <c r="BN158" s="69">
        <f t="shared" ref="BN158:BN170" si="94">SUM(C158:H158)+SUM(BA158:BL158)</f>
        <v>146969.0303030303</v>
      </c>
    </row>
    <row r="159" spans="1:66">
      <c r="A159" s="33" t="s">
        <v>75</v>
      </c>
      <c r="B159" s="33" t="s">
        <v>154</v>
      </c>
      <c r="C159" s="25">
        <v>10000</v>
      </c>
      <c r="D159" s="25">
        <f t="shared" si="91"/>
        <v>0</v>
      </c>
      <c r="E159" s="166">
        <f t="shared" si="92"/>
        <v>0</v>
      </c>
      <c r="F159" s="25">
        <f t="shared" si="93"/>
        <v>0</v>
      </c>
      <c r="G159" s="25"/>
      <c r="H159" s="25"/>
      <c r="I159" s="178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92"/>
      <c r="BA159" s="68">
        <f ca="1">SUM('AC-SVC'!C159)</f>
        <v>0</v>
      </c>
      <c r="BB159" s="68">
        <f ca="1">SUM('AC-SVC'!D159)</f>
        <v>0</v>
      </c>
      <c r="BC159" s="68">
        <f ca="1">SUM('AC-SVC'!E159)</f>
        <v>0</v>
      </c>
      <c r="BD159" s="68">
        <f ca="1">SUM('AC-SVC'!F159)</f>
        <v>0</v>
      </c>
      <c r="BE159" s="68">
        <f ca="1">SUM('AC-SVC'!G159)</f>
        <v>725</v>
      </c>
      <c r="BF159" s="68">
        <f ca="1">SUM('AC-SVC'!H159)</f>
        <v>0</v>
      </c>
      <c r="BG159" s="68">
        <f ca="1">SUM(PT!C159)</f>
        <v>0</v>
      </c>
      <c r="BH159" s="68">
        <f ca="1">SUM(CCLC!C159)</f>
        <v>0</v>
      </c>
      <c r="BI159" s="68">
        <f ca="1">SUM(FC!D159)</f>
        <v>0</v>
      </c>
      <c r="BJ159" s="68">
        <f ca="1">SUM(FN!G159)</f>
        <v>0</v>
      </c>
      <c r="BK159" s="68">
        <f ca="1">SUM(FS!D159)</f>
        <v>0</v>
      </c>
      <c r="BL159" s="68">
        <f ca="1">SUM(IT!D159)</f>
        <v>0</v>
      </c>
      <c r="BM159" s="92"/>
      <c r="BN159" s="69">
        <f t="shared" si="94"/>
        <v>10725</v>
      </c>
    </row>
    <row r="160" spans="1:66">
      <c r="A160" s="33" t="s">
        <v>456</v>
      </c>
      <c r="B160" s="33" t="s">
        <v>97</v>
      </c>
      <c r="C160" s="25"/>
      <c r="D160" s="25">
        <f t="shared" si="91"/>
        <v>0</v>
      </c>
      <c r="E160" s="166">
        <f t="shared" si="92"/>
        <v>0</v>
      </c>
      <c r="F160" s="25">
        <f t="shared" si="93"/>
        <v>0</v>
      </c>
      <c r="G160" s="25"/>
      <c r="H160" s="25"/>
      <c r="I160" s="178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92"/>
      <c r="BA160" s="68">
        <f ca="1">SUM('AC-SVC'!C160)</f>
        <v>0</v>
      </c>
      <c r="BB160" s="68">
        <f ca="1">SUM('AC-SVC'!D160)</f>
        <v>0</v>
      </c>
      <c r="BC160" s="68">
        <f ca="1">SUM('AC-SVC'!E160)</f>
        <v>0</v>
      </c>
      <c r="BD160" s="68">
        <f ca="1">SUM('AC-SVC'!F160)</f>
        <v>0</v>
      </c>
      <c r="BE160" s="68">
        <f ca="1">SUM('AC-SVC'!G160)</f>
        <v>0</v>
      </c>
      <c r="BF160" s="68">
        <f ca="1">SUM('AC-SVC'!H160)</f>
        <v>0</v>
      </c>
      <c r="BG160" s="68">
        <f ca="1">SUM(PT!C160)</f>
        <v>0</v>
      </c>
      <c r="BH160" s="68">
        <f ca="1">SUM(CCLC!C160)</f>
        <v>0</v>
      </c>
      <c r="BI160" s="68">
        <f ca="1">SUM(FC!D160)</f>
        <v>2000</v>
      </c>
      <c r="BJ160" s="68">
        <f ca="1">SUM(FN!G160)</f>
        <v>0</v>
      </c>
      <c r="BK160" s="68">
        <f ca="1">SUM(FS!D160)</f>
        <v>0</v>
      </c>
      <c r="BL160" s="68">
        <f ca="1">SUM(IT!D160)</f>
        <v>0</v>
      </c>
      <c r="BM160" s="92"/>
      <c r="BN160" s="69">
        <f t="shared" si="94"/>
        <v>2000</v>
      </c>
    </row>
    <row r="161" spans="1:66">
      <c r="A161" s="33" t="s">
        <v>457</v>
      </c>
      <c r="B161" s="33" t="s">
        <v>458</v>
      </c>
      <c r="C161" s="25"/>
      <c r="D161" s="25">
        <f t="shared" si="91"/>
        <v>0</v>
      </c>
      <c r="E161" s="166">
        <f t="shared" si="92"/>
        <v>0</v>
      </c>
      <c r="F161" s="25">
        <f t="shared" si="93"/>
        <v>0</v>
      </c>
      <c r="G161" s="25"/>
      <c r="H161" s="25"/>
      <c r="I161" s="178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92"/>
      <c r="BA161" s="68">
        <f ca="1">SUM('AC-SVC'!C161)</f>
        <v>0</v>
      </c>
      <c r="BB161" s="68">
        <f ca="1">SUM('AC-SVC'!D161)</f>
        <v>0</v>
      </c>
      <c r="BC161" s="68">
        <f ca="1">SUM('AC-SVC'!E161)</f>
        <v>0</v>
      </c>
      <c r="BD161" s="68">
        <f ca="1">SUM('AC-SVC'!F161)</f>
        <v>0</v>
      </c>
      <c r="BE161" s="68">
        <f ca="1">SUM('AC-SVC'!G161)</f>
        <v>0</v>
      </c>
      <c r="BF161" s="68">
        <f ca="1">SUM('AC-SVC'!H161)</f>
        <v>0</v>
      </c>
      <c r="BG161" s="68">
        <f ca="1">SUM(PT!C161)</f>
        <v>0</v>
      </c>
      <c r="BH161" s="68">
        <f ca="1">SUM(CCLC!C161)</f>
        <v>0</v>
      </c>
      <c r="BI161" s="68">
        <f ca="1">SUM(FC!D161)</f>
        <v>0</v>
      </c>
      <c r="BJ161" s="68">
        <f ca="1">SUM(FN!G161)</f>
        <v>0</v>
      </c>
      <c r="BK161" s="68">
        <f ca="1">SUM(FS!D161)</f>
        <v>0</v>
      </c>
      <c r="BL161" s="68">
        <f ca="1">SUM(IT!D161)</f>
        <v>960</v>
      </c>
      <c r="BM161" s="92"/>
      <c r="BN161" s="69">
        <f t="shared" si="94"/>
        <v>960</v>
      </c>
    </row>
    <row r="162" spans="1:66">
      <c r="A162" s="33" t="s">
        <v>459</v>
      </c>
      <c r="B162" s="33" t="s">
        <v>460</v>
      </c>
      <c r="C162" s="25"/>
      <c r="D162" s="25">
        <f t="shared" si="91"/>
        <v>0</v>
      </c>
      <c r="E162" s="166">
        <f t="shared" si="92"/>
        <v>0</v>
      </c>
      <c r="F162" s="25">
        <f t="shared" si="93"/>
        <v>0</v>
      </c>
      <c r="G162" s="25"/>
      <c r="H162" s="25"/>
      <c r="I162" s="178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92"/>
      <c r="BA162" s="68">
        <f ca="1">SUM('AC-SVC'!C162)</f>
        <v>0</v>
      </c>
      <c r="BB162" s="68">
        <f ca="1">SUM('AC-SVC'!D162)</f>
        <v>0</v>
      </c>
      <c r="BC162" s="68">
        <f ca="1">SUM('AC-SVC'!E162)</f>
        <v>0</v>
      </c>
      <c r="BD162" s="68">
        <f ca="1">SUM('AC-SVC'!F162)</f>
        <v>0</v>
      </c>
      <c r="BE162" s="68">
        <f ca="1">SUM('AC-SVC'!G162)</f>
        <v>0</v>
      </c>
      <c r="BF162" s="68">
        <f ca="1">SUM('AC-SVC'!H162)</f>
        <v>0</v>
      </c>
      <c r="BG162" s="68">
        <f ca="1">SUM(PT!C162)</f>
        <v>0</v>
      </c>
      <c r="BH162" s="68">
        <f ca="1">SUM(CCLC!C162)</f>
        <v>0</v>
      </c>
      <c r="BI162" s="68">
        <f ca="1">SUM(FC!D162)</f>
        <v>0</v>
      </c>
      <c r="BJ162" s="68">
        <f ca="1">SUM(FN!G162)*BJ7</f>
        <v>0</v>
      </c>
      <c r="BK162" s="68">
        <f ca="1">SUM(FS!D162)</f>
        <v>0</v>
      </c>
      <c r="BL162" s="68">
        <f ca="1">SUM(IT!D162)</f>
        <v>166607.54999999999</v>
      </c>
      <c r="BM162" s="92"/>
      <c r="BN162" s="69">
        <f t="shared" si="94"/>
        <v>166607.54999999999</v>
      </c>
    </row>
    <row r="163" spans="1:66">
      <c r="A163" s="33" t="s">
        <v>452</v>
      </c>
      <c r="B163" s="33" t="s">
        <v>453</v>
      </c>
      <c r="C163" s="25"/>
      <c r="D163" s="25">
        <f>SUM(J163:M163)</f>
        <v>0</v>
      </c>
      <c r="E163" s="166">
        <f t="shared" si="92"/>
        <v>0</v>
      </c>
      <c r="F163" s="25">
        <f>SUM(AR163:AY163)</f>
        <v>0</v>
      </c>
      <c r="G163" s="25"/>
      <c r="H163" s="25"/>
      <c r="I163" s="178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92"/>
      <c r="BA163" s="68">
        <f ca="1">SUM('AC-SVC'!C163)</f>
        <v>0</v>
      </c>
      <c r="BB163" s="68">
        <f ca="1">SUM('AC-SVC'!D163)</f>
        <v>0</v>
      </c>
      <c r="BC163" s="68">
        <f ca="1">SUM('AC-SVC'!E163)</f>
        <v>0</v>
      </c>
      <c r="BD163" s="68">
        <f ca="1">SUM('AC-SVC'!F163)</f>
        <v>0</v>
      </c>
      <c r="BE163" s="68">
        <f ca="1">SUM('AC-SVC'!G163)</f>
        <v>0</v>
      </c>
      <c r="BF163" s="68">
        <f ca="1">SUM('AC-SVC'!H163)</f>
        <v>0</v>
      </c>
      <c r="BG163" s="68">
        <f ca="1">SUM(PT!C163)</f>
        <v>0</v>
      </c>
      <c r="BH163" s="68">
        <f ca="1">SUM(CCLC!C163)</f>
        <v>0</v>
      </c>
      <c r="BI163" s="68">
        <f ca="1">SUM(FC!D163)</f>
        <v>0</v>
      </c>
      <c r="BJ163" s="68">
        <f ca="1">SUM(FN!G163)</f>
        <v>0</v>
      </c>
      <c r="BK163" s="68">
        <f ca="1">SUM(FS!D163)</f>
        <v>0</v>
      </c>
      <c r="BL163" s="68">
        <f ca="1">SUM(IT!D163)</f>
        <v>0</v>
      </c>
      <c r="BM163" s="92"/>
      <c r="BN163" s="69">
        <f t="shared" si="94"/>
        <v>0</v>
      </c>
    </row>
    <row r="164" spans="1:66">
      <c r="A164" s="33" t="s">
        <v>76</v>
      </c>
      <c r="B164" s="33" t="s">
        <v>155</v>
      </c>
      <c r="C164" s="25"/>
      <c r="D164" s="25">
        <f t="shared" si="91"/>
        <v>0</v>
      </c>
      <c r="E164" s="166">
        <f t="shared" si="92"/>
        <v>0</v>
      </c>
      <c r="F164" s="25">
        <f t="shared" si="93"/>
        <v>0</v>
      </c>
      <c r="G164" s="25"/>
      <c r="H164" s="25"/>
      <c r="I164" s="178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92"/>
      <c r="BA164" s="68">
        <f ca="1">SUM('AC-SVC'!C164)</f>
        <v>0</v>
      </c>
      <c r="BB164" s="68">
        <f ca="1">SUM('AC-SVC'!D164)</f>
        <v>0</v>
      </c>
      <c r="BC164" s="68">
        <f ca="1">SUM('AC-SVC'!E164)</f>
        <v>0</v>
      </c>
      <c r="BD164" s="68">
        <f ca="1">SUM('AC-SVC'!F164)</f>
        <v>0</v>
      </c>
      <c r="BE164" s="68">
        <f ca="1">SUM('AC-SVC'!G164)</f>
        <v>0</v>
      </c>
      <c r="BF164" s="68">
        <f ca="1">SUM('AC-SVC'!H164)</f>
        <v>0</v>
      </c>
      <c r="BG164" s="68">
        <f ca="1">SUM(PT!C164)</f>
        <v>6800</v>
      </c>
      <c r="BH164" s="68">
        <f ca="1">SUM(CCLC!C164)</f>
        <v>12218.181818181818</v>
      </c>
      <c r="BI164" s="68">
        <f ca="1">SUM(FC!D164)</f>
        <v>0</v>
      </c>
      <c r="BJ164" s="68">
        <f ca="1">SUM(FN!G164)</f>
        <v>0</v>
      </c>
      <c r="BK164" s="68">
        <f ca="1">SUM(FS!D164)</f>
        <v>149352</v>
      </c>
      <c r="BL164" s="68">
        <f ca="1">SUM(IT!D164)</f>
        <v>0</v>
      </c>
      <c r="BM164" s="92"/>
      <c r="BN164" s="69">
        <f t="shared" si="94"/>
        <v>168370.18181818182</v>
      </c>
    </row>
    <row r="165" spans="1:66">
      <c r="A165" s="33" t="s">
        <v>79</v>
      </c>
      <c r="B165" s="33" t="s">
        <v>156</v>
      </c>
      <c r="C165" s="25"/>
      <c r="D165" s="25">
        <f t="shared" si="91"/>
        <v>0</v>
      </c>
      <c r="E165" s="166">
        <f t="shared" si="92"/>
        <v>0</v>
      </c>
      <c r="F165" s="25">
        <f t="shared" si="93"/>
        <v>0</v>
      </c>
      <c r="G165" s="25"/>
      <c r="H165" s="25"/>
      <c r="I165" s="178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92"/>
      <c r="BA165" s="68">
        <f ca="1">SUM('AC-SVC'!C165)</f>
        <v>0</v>
      </c>
      <c r="BB165" s="68">
        <f ca="1">SUM('AC-SVC'!D165)</f>
        <v>0</v>
      </c>
      <c r="BC165" s="68">
        <f ca="1">SUM('AC-SVC'!E165)</f>
        <v>0</v>
      </c>
      <c r="BD165" s="68">
        <f ca="1">SUM('AC-SVC'!F165)</f>
        <v>0</v>
      </c>
      <c r="BE165" s="68">
        <f ca="1">SUM('AC-SVC'!G165)</f>
        <v>0</v>
      </c>
      <c r="BF165" s="68">
        <f ca="1">SUM('AC-SVC'!H165)</f>
        <v>0</v>
      </c>
      <c r="BG165" s="68">
        <f ca="1">SUM(PT!C165)</f>
        <v>0</v>
      </c>
      <c r="BH165" s="68">
        <f ca="1">SUM(CCLC!C165)</f>
        <v>0</v>
      </c>
      <c r="BI165" s="68">
        <f ca="1">SUM(FC!D165)</f>
        <v>0</v>
      </c>
      <c r="BJ165" s="68">
        <f ca="1">SUM(FN!G165)</f>
        <v>0</v>
      </c>
      <c r="BK165" s="68">
        <f ca="1">SUM(FS!D165)</f>
        <v>2000</v>
      </c>
      <c r="BL165" s="68">
        <f ca="1">SUM(IT!D165)</f>
        <v>0</v>
      </c>
      <c r="BM165" s="92"/>
      <c r="BN165" s="69">
        <f t="shared" si="94"/>
        <v>2000</v>
      </c>
    </row>
    <row r="166" spans="1:66">
      <c r="A166" s="33" t="s">
        <v>78</v>
      </c>
      <c r="B166" s="33" t="s">
        <v>157</v>
      </c>
      <c r="C166" s="25"/>
      <c r="D166" s="25">
        <f t="shared" si="91"/>
        <v>0</v>
      </c>
      <c r="E166" s="166">
        <f t="shared" si="92"/>
        <v>0</v>
      </c>
      <c r="F166" s="25">
        <f t="shared" si="93"/>
        <v>0</v>
      </c>
      <c r="G166" s="25"/>
      <c r="H166" s="25"/>
      <c r="I166" s="178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92"/>
      <c r="BA166" s="68">
        <f ca="1">SUM('AC-SVC'!C166)</f>
        <v>0</v>
      </c>
      <c r="BB166" s="68">
        <f ca="1">SUM('AC-SVC'!D166)</f>
        <v>0</v>
      </c>
      <c r="BC166" s="68">
        <f ca="1">SUM('AC-SVC'!E166)</f>
        <v>0</v>
      </c>
      <c r="BD166" s="68">
        <f ca="1">SUM('AC-SVC'!F166)</f>
        <v>0</v>
      </c>
      <c r="BE166" s="68">
        <f ca="1">SUM('AC-SVC'!G166)</f>
        <v>0</v>
      </c>
      <c r="BF166" s="68">
        <f ca="1">SUM('AC-SVC'!H166)</f>
        <v>0</v>
      </c>
      <c r="BG166" s="68">
        <f ca="1">SUM(PT!C166)</f>
        <v>0</v>
      </c>
      <c r="BH166" s="68">
        <f ca="1">SUM(CCLC!C166)</f>
        <v>0</v>
      </c>
      <c r="BI166" s="68">
        <f ca="1">SUM(FC!D166)</f>
        <v>0</v>
      </c>
      <c r="BJ166" s="68">
        <f ca="1">SUM(FN!G166)</f>
        <v>0</v>
      </c>
      <c r="BK166" s="68">
        <f ca="1">SUM(FS!D166)</f>
        <v>1000</v>
      </c>
      <c r="BL166" s="68">
        <f ca="1">SUM(IT!D166)</f>
        <v>0</v>
      </c>
      <c r="BM166" s="92"/>
      <c r="BN166" s="69">
        <f t="shared" si="94"/>
        <v>1000</v>
      </c>
    </row>
    <row r="167" spans="1:66">
      <c r="A167" s="33" t="s">
        <v>77</v>
      </c>
      <c r="B167" s="33" t="s">
        <v>158</v>
      </c>
      <c r="C167" s="25">
        <f ca="1">100*SUM!B5</f>
        <v>63500</v>
      </c>
      <c r="D167" s="25">
        <f t="shared" si="91"/>
        <v>0</v>
      </c>
      <c r="E167" s="166">
        <f t="shared" si="92"/>
        <v>0</v>
      </c>
      <c r="F167" s="25">
        <f t="shared" si="93"/>
        <v>0</v>
      </c>
      <c r="G167" s="25"/>
      <c r="H167" s="25"/>
      <c r="I167" s="178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92"/>
      <c r="BA167" s="68">
        <f ca="1">SUM('AC-SVC'!C167)</f>
        <v>0</v>
      </c>
      <c r="BB167" s="68">
        <f ca="1">SUM('AC-SVC'!D167)</f>
        <v>0</v>
      </c>
      <c r="BC167" s="68">
        <f ca="1">SUM('AC-SVC'!E167)</f>
        <v>0</v>
      </c>
      <c r="BD167" s="68">
        <f ca="1">SUM('AC-SVC'!F167)</f>
        <v>0</v>
      </c>
      <c r="BE167" s="68">
        <f ca="1">SUM('AC-SVC'!G167)</f>
        <v>0</v>
      </c>
      <c r="BF167" s="68">
        <f ca="1">SUM('AC-SVC'!H167)*BF7</f>
        <v>1800</v>
      </c>
      <c r="BG167" s="68">
        <f ca="1">SUM(PT!C167)</f>
        <v>0</v>
      </c>
      <c r="BH167" s="68">
        <f ca="1">SUM(CCLC!C167)</f>
        <v>0</v>
      </c>
      <c r="BI167" s="68">
        <f ca="1">SUM(FC!D167)</f>
        <v>0</v>
      </c>
      <c r="BJ167" s="68">
        <f ca="1">SUM(FN!G167)</f>
        <v>0</v>
      </c>
      <c r="BK167" s="68">
        <f ca="1">SUM(FS!D167)</f>
        <v>0</v>
      </c>
      <c r="BL167" s="68">
        <f ca="1">SUM(IT!D167)</f>
        <v>0</v>
      </c>
      <c r="BM167" s="92"/>
      <c r="BN167" s="69">
        <f t="shared" si="94"/>
        <v>65300</v>
      </c>
    </row>
    <row r="168" spans="1:66">
      <c r="A168" s="33" t="s">
        <v>80</v>
      </c>
      <c r="B168" s="33" t="s">
        <v>159</v>
      </c>
      <c r="C168" s="25">
        <f ca="1">50*SUM!B5</f>
        <v>31750</v>
      </c>
      <c r="D168" s="25">
        <f t="shared" si="91"/>
        <v>0</v>
      </c>
      <c r="E168" s="166">
        <f t="shared" si="92"/>
        <v>0</v>
      </c>
      <c r="F168" s="25">
        <f t="shared" si="93"/>
        <v>0</v>
      </c>
      <c r="G168" s="25"/>
      <c r="H168" s="25"/>
      <c r="I168" s="178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92"/>
      <c r="BA168" s="68">
        <f ca="1">SUM('AC-SVC'!C168)</f>
        <v>7000</v>
      </c>
      <c r="BB168" s="68">
        <f ca="1">SUM('AC-SVC'!D168)</f>
        <v>0</v>
      </c>
      <c r="BC168" s="68">
        <f ca="1">SUM('AC-SVC'!E168)</f>
        <v>0</v>
      </c>
      <c r="BD168" s="68">
        <f ca="1">SUM('AC-SVC'!F168)</f>
        <v>0</v>
      </c>
      <c r="BE168" s="68">
        <f ca="1">SUM('AC-SVC'!G168)</f>
        <v>0</v>
      </c>
      <c r="BF168" s="68">
        <f ca="1">SUM('AC-SVC'!H168)*BF7</f>
        <v>1200</v>
      </c>
      <c r="BG168" s="68">
        <f ca="1">SUM(PT!C168)</f>
        <v>0</v>
      </c>
      <c r="BH168" s="68">
        <f ca="1">SUM(CCLC!C168)</f>
        <v>0</v>
      </c>
      <c r="BI168" s="68">
        <f ca="1">SUM(FC!D168)</f>
        <v>0</v>
      </c>
      <c r="BJ168" s="68">
        <f ca="1">SUM(FN!G168)</f>
        <v>0</v>
      </c>
      <c r="BK168" s="68">
        <f ca="1">SUM(FS!D168)</f>
        <v>0</v>
      </c>
      <c r="BL168" s="68">
        <f ca="1">SUM(IT!D168)</f>
        <v>0</v>
      </c>
      <c r="BM168" s="92"/>
      <c r="BN168" s="69">
        <f t="shared" si="94"/>
        <v>39950</v>
      </c>
    </row>
    <row r="169" spans="1:66">
      <c r="A169" s="33" t="s">
        <v>81</v>
      </c>
      <c r="B169" s="33" t="s">
        <v>160</v>
      </c>
      <c r="C169" s="25"/>
      <c r="D169" s="25">
        <f t="shared" si="91"/>
        <v>0</v>
      </c>
      <c r="E169" s="166">
        <f t="shared" si="92"/>
        <v>0</v>
      </c>
      <c r="F169" s="25">
        <f t="shared" si="93"/>
        <v>0</v>
      </c>
      <c r="G169" s="25"/>
      <c r="H169" s="25"/>
      <c r="I169" s="178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92"/>
      <c r="BA169" s="68">
        <f ca="1">SUM('AC-SVC'!C169)</f>
        <v>0</v>
      </c>
      <c r="BB169" s="68">
        <f ca="1">SUM('AC-SVC'!D169)</f>
        <v>0</v>
      </c>
      <c r="BC169" s="68">
        <f ca="1">SUM('AC-SVC'!E169)</f>
        <v>0</v>
      </c>
      <c r="BD169" s="68">
        <f ca="1">SUM('AC-SVC'!F169)</f>
        <v>0</v>
      </c>
      <c r="BE169" s="68">
        <f ca="1">SUM('AC-SVC'!G169)</f>
        <v>728</v>
      </c>
      <c r="BF169" s="68">
        <f ca="1">SUM('AC-SVC'!H169)</f>
        <v>0</v>
      </c>
      <c r="BG169" s="68">
        <f ca="1">SUM(PT!C169)</f>
        <v>0</v>
      </c>
      <c r="BH169" s="68">
        <f ca="1">SUM(CCLC!C169)</f>
        <v>0</v>
      </c>
      <c r="BI169" s="68">
        <f ca="1">SUM(FC!D169)</f>
        <v>0</v>
      </c>
      <c r="BJ169" s="68">
        <f ca="1">SUM(FN!G169)*BJ7</f>
        <v>0</v>
      </c>
      <c r="BK169" s="68">
        <f ca="1">SUM(FS!D169)</f>
        <v>0</v>
      </c>
      <c r="BL169" s="68">
        <f ca="1">SUM(IT!D169)</f>
        <v>0</v>
      </c>
      <c r="BM169" s="92"/>
      <c r="BN169" s="69">
        <f t="shared" si="94"/>
        <v>728</v>
      </c>
    </row>
    <row r="170" spans="1:66">
      <c r="A170" s="33" t="s">
        <v>161</v>
      </c>
      <c r="B170" s="33" t="s">
        <v>162</v>
      </c>
      <c r="C170" s="180"/>
      <c r="D170" s="180">
        <f t="shared" si="91"/>
        <v>0</v>
      </c>
      <c r="E170" s="180">
        <f t="shared" si="92"/>
        <v>0</v>
      </c>
      <c r="F170" s="180">
        <f t="shared" si="93"/>
        <v>0</v>
      </c>
      <c r="G170" s="180"/>
      <c r="H170" s="180"/>
      <c r="I170" s="178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92"/>
      <c r="BA170" s="22">
        <f ca="1">SUM('AC-SVC'!C170)</f>
        <v>0</v>
      </c>
      <c r="BB170" s="22">
        <f ca="1">SUM('AC-SVC'!D170)</f>
        <v>0</v>
      </c>
      <c r="BC170" s="22">
        <f ca="1">SUM('AC-SVC'!E170)</f>
        <v>0</v>
      </c>
      <c r="BD170" s="22">
        <f ca="1">SUM('AC-SVC'!F170)</f>
        <v>0</v>
      </c>
      <c r="BE170" s="22">
        <f ca="1">SUM('AC-SVC'!G170)*0.2</f>
        <v>12200</v>
      </c>
      <c r="BF170" s="22">
        <f ca="1">SUM('AC-SVC'!H170)</f>
        <v>0</v>
      </c>
      <c r="BG170" s="22">
        <f ca="1">SUM(PT!C170)</f>
        <v>0</v>
      </c>
      <c r="BH170" s="22">
        <f ca="1">SUM(CCLC!C170)</f>
        <v>0</v>
      </c>
      <c r="BI170" s="22">
        <f ca="1">SUM(FC!D170)</f>
        <v>0</v>
      </c>
      <c r="BJ170" s="22">
        <f ca="1">SUM(FN!G170)</f>
        <v>0</v>
      </c>
      <c r="BK170" s="22">
        <f ca="1">SUM(FS!D170)</f>
        <v>0</v>
      </c>
      <c r="BL170" s="22">
        <f ca="1">SUM(IT!D170)</f>
        <v>0</v>
      </c>
      <c r="BM170" s="92"/>
      <c r="BN170" s="70">
        <f t="shared" si="94"/>
        <v>12200</v>
      </c>
    </row>
    <row r="171" spans="1:66">
      <c r="B171" s="33" t="s">
        <v>163</v>
      </c>
      <c r="C171" s="25">
        <f t="shared" ref="C171:AY171" si="95">SUM(C158:C170)</f>
        <v>111750</v>
      </c>
      <c r="D171" s="25">
        <f t="shared" si="95"/>
        <v>6000</v>
      </c>
      <c r="E171" s="25">
        <f t="shared" si="95"/>
        <v>41000</v>
      </c>
      <c r="F171" s="25">
        <f t="shared" si="95"/>
        <v>12000</v>
      </c>
      <c r="G171" s="25">
        <f t="shared" si="95"/>
        <v>2500</v>
      </c>
      <c r="H171" s="25">
        <f t="shared" si="95"/>
        <v>1000</v>
      </c>
      <c r="I171" s="178"/>
      <c r="J171" s="25">
        <f t="shared" si="95"/>
        <v>1500</v>
      </c>
      <c r="K171" s="25">
        <f t="shared" si="95"/>
        <v>1500</v>
      </c>
      <c r="L171" s="25">
        <f t="shared" si="95"/>
        <v>1500</v>
      </c>
      <c r="M171" s="25">
        <f t="shared" si="95"/>
        <v>1500</v>
      </c>
      <c r="N171" s="25">
        <f t="shared" si="95"/>
        <v>1500</v>
      </c>
      <c r="O171" s="25">
        <f t="shared" si="95"/>
        <v>1500</v>
      </c>
      <c r="P171" s="25">
        <f t="shared" si="95"/>
        <v>1500</v>
      </c>
      <c r="Q171" s="25">
        <f t="shared" si="95"/>
        <v>1500</v>
      </c>
      <c r="R171" s="25">
        <f t="shared" si="95"/>
        <v>1500</v>
      </c>
      <c r="S171" s="25">
        <f t="shared" si="95"/>
        <v>1500</v>
      </c>
      <c r="T171" s="25">
        <f t="shared" si="95"/>
        <v>1500</v>
      </c>
      <c r="U171" s="25">
        <f t="shared" si="95"/>
        <v>1500</v>
      </c>
      <c r="V171" s="25">
        <f t="shared" si="95"/>
        <v>500</v>
      </c>
      <c r="W171" s="25">
        <f t="shared" si="95"/>
        <v>1500</v>
      </c>
      <c r="X171" s="25">
        <f t="shared" si="95"/>
        <v>1500</v>
      </c>
      <c r="Y171" s="25">
        <f t="shared" si="95"/>
        <v>1500</v>
      </c>
      <c r="Z171" s="25">
        <f t="shared" si="95"/>
        <v>1500</v>
      </c>
      <c r="AA171" s="25">
        <f t="shared" si="95"/>
        <v>500</v>
      </c>
      <c r="AB171" s="25">
        <f t="shared" si="95"/>
        <v>1500</v>
      </c>
      <c r="AC171" s="25">
        <f t="shared" si="95"/>
        <v>1500</v>
      </c>
      <c r="AD171" s="25">
        <f t="shared" si="95"/>
        <v>1500</v>
      </c>
      <c r="AE171" s="25">
        <f t="shared" si="95"/>
        <v>1500</v>
      </c>
      <c r="AF171" s="25">
        <f t="shared" si="95"/>
        <v>500</v>
      </c>
      <c r="AG171" s="25">
        <f t="shared" si="95"/>
        <v>1500</v>
      </c>
      <c r="AH171" s="25">
        <f t="shared" si="95"/>
        <v>1500</v>
      </c>
      <c r="AI171" s="25">
        <f t="shared" si="95"/>
        <v>1500</v>
      </c>
      <c r="AJ171" s="25">
        <f t="shared" si="95"/>
        <v>1500</v>
      </c>
      <c r="AK171" s="25">
        <f t="shared" si="95"/>
        <v>500</v>
      </c>
      <c r="AL171" s="25">
        <f t="shared" si="95"/>
        <v>1500</v>
      </c>
      <c r="AM171" s="25">
        <f t="shared" si="95"/>
        <v>1500</v>
      </c>
      <c r="AN171" s="25">
        <f t="shared" si="95"/>
        <v>1500</v>
      </c>
      <c r="AO171" s="25">
        <f t="shared" si="95"/>
        <v>1500</v>
      </c>
      <c r="AP171" s="25">
        <f t="shared" si="95"/>
        <v>1500</v>
      </c>
      <c r="AQ171" s="25">
        <f t="shared" si="95"/>
        <v>1500</v>
      </c>
      <c r="AR171" s="25">
        <f t="shared" si="95"/>
        <v>1500</v>
      </c>
      <c r="AS171" s="25">
        <f t="shared" si="95"/>
        <v>1500</v>
      </c>
      <c r="AT171" s="25">
        <f t="shared" si="95"/>
        <v>1500</v>
      </c>
      <c r="AU171" s="25">
        <f t="shared" si="95"/>
        <v>1500</v>
      </c>
      <c r="AV171" s="25">
        <f t="shared" si="95"/>
        <v>1500</v>
      </c>
      <c r="AW171" s="25">
        <f t="shared" si="95"/>
        <v>1500</v>
      </c>
      <c r="AX171" s="25">
        <f t="shared" si="95"/>
        <v>1500</v>
      </c>
      <c r="AY171" s="25">
        <f t="shared" si="95"/>
        <v>1500</v>
      </c>
      <c r="AZ171" s="92"/>
      <c r="BA171" s="23">
        <f t="shared" ref="BA171:BG171" si="96">SUM(BA158:BA170)</f>
        <v>15650</v>
      </c>
      <c r="BB171" s="23">
        <f t="shared" si="96"/>
        <v>3000</v>
      </c>
      <c r="BC171" s="23">
        <f t="shared" si="96"/>
        <v>1500</v>
      </c>
      <c r="BD171" s="23">
        <f t="shared" si="96"/>
        <v>4400</v>
      </c>
      <c r="BE171" s="23">
        <f t="shared" si="96"/>
        <v>14353</v>
      </c>
      <c r="BF171" s="23">
        <f t="shared" si="96"/>
        <v>4000</v>
      </c>
      <c r="BG171" s="23">
        <f t="shared" si="96"/>
        <v>9100</v>
      </c>
      <c r="BH171" s="23">
        <f>SUM(BH158:BH170)</f>
        <v>21357.21212121212</v>
      </c>
      <c r="BI171" s="23">
        <f>SUM(BI158:BI170)</f>
        <v>32000</v>
      </c>
      <c r="BJ171" s="23">
        <f>SUM(BJ158:BJ170)</f>
        <v>0</v>
      </c>
      <c r="BK171" s="23">
        <f>SUM(BK158:BK170)</f>
        <v>169632</v>
      </c>
      <c r="BL171" s="23">
        <f>SUM(BL158:BL170)</f>
        <v>167567.54999999999</v>
      </c>
      <c r="BM171" s="92"/>
      <c r="BN171" s="56">
        <f>SUM(BN158:BN170)</f>
        <v>616809.7621212122</v>
      </c>
    </row>
    <row r="172" spans="1:66">
      <c r="C172" s="25"/>
      <c r="D172" s="25"/>
      <c r="E172" s="25"/>
      <c r="F172" s="25"/>
      <c r="G172" s="25"/>
      <c r="H172" s="25"/>
      <c r="I172" s="178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92"/>
      <c r="BA172" s="23"/>
      <c r="BB172" s="25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92"/>
    </row>
    <row r="173" spans="1:66">
      <c r="A173" s="33" t="s">
        <v>164</v>
      </c>
      <c r="C173" s="25"/>
      <c r="D173" s="25"/>
      <c r="E173" s="25"/>
      <c r="F173" s="25"/>
      <c r="G173" s="25"/>
      <c r="H173" s="25"/>
      <c r="I173" s="178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92"/>
      <c r="BA173" s="23"/>
      <c r="BB173" s="25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92"/>
    </row>
    <row r="174" spans="1:66">
      <c r="A174" s="33" t="s">
        <v>165</v>
      </c>
      <c r="C174" s="25"/>
      <c r="D174" s="25"/>
      <c r="E174" s="25"/>
      <c r="F174" s="25"/>
      <c r="G174" s="25"/>
      <c r="H174" s="25"/>
      <c r="I174" s="178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92"/>
      <c r="BA174" s="23"/>
      <c r="BB174" s="25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92"/>
    </row>
    <row r="175" spans="1:66">
      <c r="A175" s="33" t="s">
        <v>86</v>
      </c>
      <c r="B175" s="33" t="s">
        <v>85</v>
      </c>
      <c r="C175" s="25">
        <f t="shared" ref="C175:H175" si="97">SUM(C38+C49)*0.15</f>
        <v>887289.75</v>
      </c>
      <c r="D175" s="25">
        <f t="shared" si="97"/>
        <v>0</v>
      </c>
      <c r="E175" s="25">
        <f t="shared" si="97"/>
        <v>0</v>
      </c>
      <c r="F175" s="25">
        <f t="shared" si="97"/>
        <v>0</v>
      </c>
      <c r="G175" s="25">
        <f t="shared" si="97"/>
        <v>0</v>
      </c>
      <c r="H175" s="25">
        <f t="shared" si="97"/>
        <v>0</v>
      </c>
      <c r="I175" s="178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92"/>
      <c r="BA175" s="25">
        <f t="shared" ref="BA175:BH175" si="98">SUM(BA38+BA49)*0.15</f>
        <v>0</v>
      </c>
      <c r="BB175" s="25">
        <f t="shared" si="98"/>
        <v>0</v>
      </c>
      <c r="BC175" s="25">
        <f t="shared" si="98"/>
        <v>0</v>
      </c>
      <c r="BD175" s="25">
        <f t="shared" si="98"/>
        <v>0</v>
      </c>
      <c r="BE175" s="25">
        <f t="shared" si="98"/>
        <v>120</v>
      </c>
      <c r="BF175" s="68">
        <f ca="1">SUM('AC-SVC'!H175)</f>
        <v>0</v>
      </c>
      <c r="BG175" s="25">
        <f t="shared" si="98"/>
        <v>11205</v>
      </c>
      <c r="BH175" s="25">
        <f t="shared" si="98"/>
        <v>11072.72727272727</v>
      </c>
      <c r="BI175" s="25">
        <f>SUM(BI38+BI49)*0.15</f>
        <v>0</v>
      </c>
      <c r="BJ175" s="25">
        <f>SUM(BJ38+BJ49)*0.15</f>
        <v>0</v>
      </c>
      <c r="BK175" s="25">
        <f>SUM(BK38+BK49)*0.15</f>
        <v>15240</v>
      </c>
      <c r="BL175" s="25">
        <f>SUM(BL38+BL49)*0.15</f>
        <v>0</v>
      </c>
      <c r="BM175" s="92"/>
      <c r="BN175" s="69">
        <f t="shared" ref="BN175:BN185" si="99">SUM(C175:H175)+SUM(BA175:BL175)</f>
        <v>924927.47727272729</v>
      </c>
    </row>
    <row r="176" spans="1:66">
      <c r="A176" s="33" t="s">
        <v>91</v>
      </c>
      <c r="B176" s="33" t="s">
        <v>92</v>
      </c>
      <c r="C176" s="25"/>
      <c r="D176" s="25">
        <f t="shared" ref="D176:D185" si="100">SUM(J176:M176)</f>
        <v>0</v>
      </c>
      <c r="E176" s="166">
        <f t="shared" ref="E176:E183" si="101">SUM(N176:AQ176)</f>
        <v>0</v>
      </c>
      <c r="F176" s="25">
        <f t="shared" ref="F176:F185" si="102">SUM(AR176:AY176)</f>
        <v>0</v>
      </c>
      <c r="G176" s="25"/>
      <c r="H176" s="25"/>
      <c r="I176" s="178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92"/>
      <c r="BA176" s="68">
        <f ca="1">SUM('AC-SVC'!C176)</f>
        <v>0</v>
      </c>
      <c r="BB176" s="68">
        <f ca="1">SUM('AC-SVC'!D176)</f>
        <v>0</v>
      </c>
      <c r="BC176" s="68">
        <f ca="1">SUM('AC-SVC'!E176)</f>
        <v>0</v>
      </c>
      <c r="BD176" s="68">
        <f ca="1">SUM('AC-SVC'!F176)</f>
        <v>0</v>
      </c>
      <c r="BE176" s="68">
        <f ca="1">SUM('AC-SVC'!G176)</f>
        <v>0</v>
      </c>
      <c r="BF176" s="68">
        <f ca="1">SUM('AC-SVC'!H176)</f>
        <v>0</v>
      </c>
      <c r="BG176" s="68">
        <f ca="1">SUM(PT!C176)</f>
        <v>0</v>
      </c>
      <c r="BH176" s="68">
        <f ca="1">SUM(CCLC!C176)</f>
        <v>0</v>
      </c>
      <c r="BI176" s="68">
        <f ca="1">SUM(FC!D176)</f>
        <v>0</v>
      </c>
      <c r="BJ176" s="68">
        <f ca="1">SUM(FN!G176)</f>
        <v>0</v>
      </c>
      <c r="BK176" s="68">
        <f ca="1">SUM(FS!D176)</f>
        <v>0</v>
      </c>
      <c r="BL176" s="68">
        <f ca="1">SUM(IT!D176)</f>
        <v>0</v>
      </c>
      <c r="BM176" s="92"/>
      <c r="BN176" s="69">
        <f t="shared" si="99"/>
        <v>0</v>
      </c>
    </row>
    <row r="177" spans="1:66">
      <c r="A177" s="33" t="s">
        <v>93</v>
      </c>
      <c r="B177" s="33" t="s">
        <v>94</v>
      </c>
      <c r="C177" s="25"/>
      <c r="D177" s="25">
        <f t="shared" si="100"/>
        <v>0</v>
      </c>
      <c r="E177" s="166">
        <f t="shared" si="101"/>
        <v>0</v>
      </c>
      <c r="F177" s="25">
        <f t="shared" si="102"/>
        <v>0</v>
      </c>
      <c r="G177" s="25"/>
      <c r="H177" s="25"/>
      <c r="I177" s="178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92"/>
      <c r="BA177" s="68">
        <f ca="1">SUM('AC-SVC'!C177)</f>
        <v>0</v>
      </c>
      <c r="BB177" s="68">
        <f ca="1">SUM('AC-SVC'!D177)</f>
        <v>0</v>
      </c>
      <c r="BC177" s="68">
        <f ca="1">SUM('AC-SVC'!E177)</f>
        <v>0</v>
      </c>
      <c r="BD177" s="68">
        <f ca="1">SUM('AC-SVC'!F177)</f>
        <v>0</v>
      </c>
      <c r="BE177" s="68">
        <f ca="1">SUM('AC-SVC'!G177)</f>
        <v>0</v>
      </c>
      <c r="BF177" s="68">
        <f ca="1">SUM('AC-SVC'!H177)</f>
        <v>0</v>
      </c>
      <c r="BG177" s="68">
        <f ca="1">SUM(PT!C177)</f>
        <v>0</v>
      </c>
      <c r="BH177" s="68">
        <f ca="1">SUM(CCLC!C177)</f>
        <v>0</v>
      </c>
      <c r="BI177" s="68">
        <f ca="1">SUM(FC!D177)</f>
        <v>0</v>
      </c>
      <c r="BJ177" s="68">
        <f ca="1">SUM(FN!G177)</f>
        <v>0</v>
      </c>
      <c r="BK177" s="68">
        <f ca="1">SUM(FS!D177)</f>
        <v>0</v>
      </c>
      <c r="BL177" s="68">
        <f ca="1">SUM(IT!D177)</f>
        <v>0</v>
      </c>
      <c r="BM177" s="92"/>
      <c r="BN177" s="69">
        <f t="shared" si="99"/>
        <v>0</v>
      </c>
    </row>
    <row r="178" spans="1:66">
      <c r="A178" s="33" t="s">
        <v>95</v>
      </c>
      <c r="B178" s="33" t="s">
        <v>432</v>
      </c>
      <c r="C178" s="25"/>
      <c r="D178" s="25">
        <f t="shared" si="100"/>
        <v>0</v>
      </c>
      <c r="E178" s="166">
        <f t="shared" si="101"/>
        <v>0</v>
      </c>
      <c r="F178" s="25">
        <f t="shared" si="102"/>
        <v>0</v>
      </c>
      <c r="G178" s="25"/>
      <c r="H178" s="25"/>
      <c r="I178" s="178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92"/>
      <c r="BA178" s="68">
        <f ca="1">SUM('AC-SVC'!C178)</f>
        <v>0</v>
      </c>
      <c r="BB178" s="68">
        <f ca="1">SUM('AC-SVC'!D178)</f>
        <v>0</v>
      </c>
      <c r="BC178" s="68">
        <f ca="1">SUM('AC-SVC'!E178)</f>
        <v>0</v>
      </c>
      <c r="BD178" s="68">
        <f ca="1">SUM('AC-SVC'!F178)</f>
        <v>0</v>
      </c>
      <c r="BE178" s="68">
        <f ca="1">SUM('AC-SVC'!G178)</f>
        <v>0</v>
      </c>
      <c r="BF178" s="68">
        <f ca="1">SUM('AC-SVC'!H178)</f>
        <v>0</v>
      </c>
      <c r="BG178" s="68">
        <f ca="1">SUM(PT!C178)</f>
        <v>0</v>
      </c>
      <c r="BH178" s="68">
        <f ca="1">SUM(CCLC!C178)</f>
        <v>0</v>
      </c>
      <c r="BI178" s="68">
        <f ca="1">SUM(FC!D178)</f>
        <v>0</v>
      </c>
      <c r="BJ178" s="68">
        <f ca="1">SUM(FN!G178)</f>
        <v>0</v>
      </c>
      <c r="BK178" s="68">
        <f ca="1">SUM(FS!D178)</f>
        <v>0</v>
      </c>
      <c r="BL178" s="68">
        <f ca="1">SUM(IT!D178)</f>
        <v>0</v>
      </c>
      <c r="BM178" s="92"/>
      <c r="BN178" s="69">
        <f t="shared" si="99"/>
        <v>0</v>
      </c>
    </row>
    <row r="179" spans="1:66">
      <c r="A179" s="33" t="s">
        <v>96</v>
      </c>
      <c r="B179" s="33" t="s">
        <v>431</v>
      </c>
      <c r="C179" s="25">
        <v>20000</v>
      </c>
      <c r="D179" s="25">
        <f t="shared" si="100"/>
        <v>0</v>
      </c>
      <c r="E179" s="166">
        <f t="shared" si="101"/>
        <v>0</v>
      </c>
      <c r="F179" s="25">
        <f t="shared" si="102"/>
        <v>0</v>
      </c>
      <c r="G179" s="25"/>
      <c r="H179" s="25"/>
      <c r="I179" s="178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92"/>
      <c r="BA179" s="68">
        <f ca="1">SUM('AC-SVC'!C179)</f>
        <v>0</v>
      </c>
      <c r="BB179" s="68">
        <f ca="1">SUM('AC-SVC'!D179)</f>
        <v>0</v>
      </c>
      <c r="BC179" s="68">
        <f ca="1">SUM('AC-SVC'!E179)</f>
        <v>0</v>
      </c>
      <c r="BD179" s="68">
        <f ca="1">SUM('AC-SVC'!F179)</f>
        <v>0</v>
      </c>
      <c r="BE179" s="68">
        <f ca="1">SUM('AC-SVC'!G179)</f>
        <v>0</v>
      </c>
      <c r="BF179" s="68">
        <f ca="1">SUM('AC-SVC'!H179)</f>
        <v>0</v>
      </c>
      <c r="BG179" s="68">
        <f ca="1">SUM(PT!C179)</f>
        <v>0</v>
      </c>
      <c r="BH179" s="68">
        <f ca="1">SUM(CCLC!C179)</f>
        <v>0</v>
      </c>
      <c r="BI179" s="68">
        <f ca="1">SUM(FC!D179)</f>
        <v>0</v>
      </c>
      <c r="BJ179" s="68">
        <f ca="1">SUM(FN!G179)</f>
        <v>0</v>
      </c>
      <c r="BK179" s="68">
        <f ca="1">SUM(FS!D179)</f>
        <v>0</v>
      </c>
      <c r="BL179" s="68">
        <f ca="1">SUM(IT!D179)</f>
        <v>0</v>
      </c>
      <c r="BM179" s="92"/>
      <c r="BN179" s="69">
        <f t="shared" si="99"/>
        <v>20000</v>
      </c>
    </row>
    <row r="180" spans="1:66">
      <c r="A180" s="33" t="s">
        <v>98</v>
      </c>
      <c r="B180" s="33" t="s">
        <v>99</v>
      </c>
      <c r="C180" s="25"/>
      <c r="D180" s="25">
        <f t="shared" si="100"/>
        <v>0</v>
      </c>
      <c r="E180" s="166">
        <f t="shared" si="101"/>
        <v>0</v>
      </c>
      <c r="F180" s="25">
        <f t="shared" si="102"/>
        <v>0</v>
      </c>
      <c r="G180" s="25"/>
      <c r="H180" s="25"/>
      <c r="I180" s="178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92"/>
      <c r="BA180" s="68">
        <f ca="1">SUM('AC-SVC'!C180)</f>
        <v>0</v>
      </c>
      <c r="BB180" s="68">
        <f ca="1">SUM('AC-SVC'!D180)</f>
        <v>0</v>
      </c>
      <c r="BC180" s="68">
        <f ca="1">SUM('AC-SVC'!E180)</f>
        <v>0</v>
      </c>
      <c r="BD180" s="68">
        <f ca="1">SUM('AC-SVC'!F180)</f>
        <v>0</v>
      </c>
      <c r="BE180" s="68">
        <f ca="1">SUM('AC-SVC'!G180)</f>
        <v>0</v>
      </c>
      <c r="BF180" s="68">
        <f ca="1">SUM('AC-SVC'!H180)</f>
        <v>0</v>
      </c>
      <c r="BG180" s="68">
        <f ca="1">SUM(PT!C180)</f>
        <v>0</v>
      </c>
      <c r="BH180" s="68">
        <f ca="1">SUM(CCLC!C180)</f>
        <v>0</v>
      </c>
      <c r="BI180" s="68">
        <f ca="1">SUM(FC!D180)</f>
        <v>0</v>
      </c>
      <c r="BJ180" s="68">
        <f ca="1">SUM(FN!G180)</f>
        <v>0</v>
      </c>
      <c r="BK180" s="68">
        <f ca="1">SUM(FS!D180)</f>
        <v>0</v>
      </c>
      <c r="BL180" s="68">
        <f ca="1">SUM(IT!D180)</f>
        <v>0</v>
      </c>
      <c r="BM180" s="92"/>
      <c r="BN180" s="69">
        <f t="shared" si="99"/>
        <v>0</v>
      </c>
    </row>
    <row r="181" spans="1:66">
      <c r="A181" s="33" t="s">
        <v>100</v>
      </c>
      <c r="B181" s="33" t="s">
        <v>287</v>
      </c>
      <c r="C181" s="25"/>
      <c r="D181" s="25">
        <f t="shared" si="100"/>
        <v>0</v>
      </c>
      <c r="E181" s="166">
        <f t="shared" si="101"/>
        <v>0</v>
      </c>
      <c r="F181" s="25">
        <f t="shared" si="102"/>
        <v>0</v>
      </c>
      <c r="G181" s="25"/>
      <c r="H181" s="25"/>
      <c r="I181" s="178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92"/>
      <c r="BA181" s="68">
        <f ca="1">SUM('AC-SVC'!C181)</f>
        <v>0</v>
      </c>
      <c r="BB181" s="68">
        <f ca="1">SUM('AC-SVC'!D181)</f>
        <v>0</v>
      </c>
      <c r="BC181" s="68">
        <f ca="1">SUM('AC-SVC'!E181)</f>
        <v>0</v>
      </c>
      <c r="BD181" s="68">
        <f ca="1">SUM('AC-SVC'!F181)</f>
        <v>0</v>
      </c>
      <c r="BE181" s="68">
        <f ca="1">SUM('AC-SVC'!G181)</f>
        <v>0</v>
      </c>
      <c r="BF181" s="68">
        <f ca="1">SUM('AC-SVC'!H181)</f>
        <v>0</v>
      </c>
      <c r="BG181" s="68">
        <f ca="1">SUM(PT!C181)</f>
        <v>0</v>
      </c>
      <c r="BH181" s="68">
        <f ca="1">SUM(CCLC!C181)</f>
        <v>1015</v>
      </c>
      <c r="BI181" s="68">
        <f ca="1">SUM(FC!D181)</f>
        <v>0</v>
      </c>
      <c r="BJ181" s="68">
        <f ca="1">SUM(FN!G181)</f>
        <v>0</v>
      </c>
      <c r="BK181" s="68">
        <f ca="1">SUM(FS!D181)</f>
        <v>0</v>
      </c>
      <c r="BL181" s="68">
        <f ca="1">SUM(IT!D181)</f>
        <v>0</v>
      </c>
      <c r="BM181" s="92"/>
      <c r="BN181" s="69">
        <f t="shared" si="99"/>
        <v>1015</v>
      </c>
    </row>
    <row r="182" spans="1:66">
      <c r="A182" s="33" t="s">
        <v>101</v>
      </c>
      <c r="B182" s="33" t="s">
        <v>102</v>
      </c>
      <c r="C182" s="25"/>
      <c r="D182" s="25">
        <f t="shared" si="100"/>
        <v>0</v>
      </c>
      <c r="E182" s="166">
        <f t="shared" si="101"/>
        <v>0</v>
      </c>
      <c r="F182" s="25">
        <f t="shared" si="102"/>
        <v>0</v>
      </c>
      <c r="G182" s="25"/>
      <c r="H182" s="25"/>
      <c r="I182" s="178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92"/>
      <c r="BA182" s="68">
        <f ca="1">SUM('AC-SVC'!C182)</f>
        <v>0</v>
      </c>
      <c r="BB182" s="68">
        <f ca="1">SUM('AC-SVC'!D182)</f>
        <v>0</v>
      </c>
      <c r="BC182" s="68">
        <f ca="1">SUM('AC-SVC'!E182)</f>
        <v>0</v>
      </c>
      <c r="BD182" s="68">
        <f ca="1">SUM('AC-SVC'!F182)</f>
        <v>0</v>
      </c>
      <c r="BE182" s="68">
        <f ca="1">SUM('AC-SVC'!G182)</f>
        <v>0</v>
      </c>
      <c r="BF182" s="68">
        <f ca="1">SUM('AC-SVC'!H182)</f>
        <v>0</v>
      </c>
      <c r="BG182" s="68">
        <f ca="1">SUM(PT!C182)</f>
        <v>0</v>
      </c>
      <c r="BH182" s="68">
        <f ca="1">SUM(CCLC!C182)</f>
        <v>0</v>
      </c>
      <c r="BI182" s="68">
        <f ca="1">SUM(FC!D182)</f>
        <v>0</v>
      </c>
      <c r="BJ182" s="68">
        <f ca="1">SUM(FN!G182)</f>
        <v>0</v>
      </c>
      <c r="BK182" s="68">
        <f ca="1">SUM(FS!D182)</f>
        <v>0</v>
      </c>
      <c r="BL182" s="68">
        <f ca="1">SUM(IT!D182)</f>
        <v>0</v>
      </c>
      <c r="BM182" s="92"/>
      <c r="BN182" s="69">
        <f t="shared" si="99"/>
        <v>0</v>
      </c>
    </row>
    <row r="183" spans="1:66">
      <c r="A183" s="33" t="s">
        <v>105</v>
      </c>
      <c r="B183" s="33" t="s">
        <v>167</v>
      </c>
      <c r="C183" s="25"/>
      <c r="D183" s="25">
        <f t="shared" si="100"/>
        <v>0</v>
      </c>
      <c r="E183" s="166">
        <f t="shared" si="101"/>
        <v>0</v>
      </c>
      <c r="F183" s="25">
        <f t="shared" si="102"/>
        <v>0</v>
      </c>
      <c r="G183" s="25"/>
      <c r="H183" s="25"/>
      <c r="I183" s="178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92"/>
      <c r="BA183" s="68">
        <f ca="1">SUM('AC-SVC'!C183)</f>
        <v>0</v>
      </c>
      <c r="BB183" s="68">
        <f ca="1">SUM('AC-SVC'!D183)</f>
        <v>0</v>
      </c>
      <c r="BC183" s="68">
        <f ca="1">SUM('AC-SVC'!E183)</f>
        <v>0</v>
      </c>
      <c r="BD183" s="68">
        <f ca="1">SUM('AC-SVC'!F183)</f>
        <v>0</v>
      </c>
      <c r="BE183" s="68">
        <f ca="1">SUM('AC-SVC'!G183)</f>
        <v>0</v>
      </c>
      <c r="BF183" s="68">
        <f ca="1">SUM('AC-SVC'!H183)</f>
        <v>0</v>
      </c>
      <c r="BG183" s="68">
        <f ca="1">SUM(PT!C183)</f>
        <v>0</v>
      </c>
      <c r="BH183" s="68">
        <f ca="1">SUM(CCLC!C183)</f>
        <v>0</v>
      </c>
      <c r="BI183" s="68">
        <f ca="1">SUM(FC!D183)</f>
        <v>0</v>
      </c>
      <c r="BJ183" s="68">
        <f ca="1">SUM(FN!G183)</f>
        <v>0</v>
      </c>
      <c r="BK183" s="68">
        <f ca="1">SUM(FS!D183)</f>
        <v>0</v>
      </c>
      <c r="BL183" s="68">
        <f ca="1">SUM(IT!D183)</f>
        <v>0</v>
      </c>
      <c r="BM183" s="92"/>
      <c r="BN183" s="69">
        <f t="shared" si="99"/>
        <v>0</v>
      </c>
    </row>
    <row r="184" spans="1:66">
      <c r="A184" s="33" t="s">
        <v>106</v>
      </c>
      <c r="B184" s="33" t="s">
        <v>107</v>
      </c>
      <c r="C184" s="68">
        <v>0</v>
      </c>
      <c r="D184" s="68">
        <f>D68*0.01</f>
        <v>0</v>
      </c>
      <c r="E184" s="68">
        <f>E68*0.01</f>
        <v>0</v>
      </c>
      <c r="F184" s="68">
        <f>F68*0.01</f>
        <v>0</v>
      </c>
      <c r="G184" s="68">
        <f>G68*0.01</f>
        <v>0</v>
      </c>
      <c r="H184" s="68">
        <f>H68*0.01</f>
        <v>0</v>
      </c>
      <c r="I184" s="178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92"/>
      <c r="BA184" s="68">
        <f ca="1">SUM('AC-SVC'!C184)</f>
        <v>0</v>
      </c>
      <c r="BB184" s="68">
        <f ca="1">SUM('AC-SVC'!D184)</f>
        <v>0</v>
      </c>
      <c r="BC184" s="68">
        <f ca="1">SUM('AC-SVC'!E184)</f>
        <v>0</v>
      </c>
      <c r="BD184" s="68">
        <f ca="1">SUM('AC-SVC'!F184)</f>
        <v>0</v>
      </c>
      <c r="BE184" s="68">
        <f ca="1">SUM('AC-SVC'!G184)</f>
        <v>0</v>
      </c>
      <c r="BF184" s="68">
        <f ca="1">BF68*0.01</f>
        <v>0</v>
      </c>
      <c r="BG184" s="68">
        <f ca="1">SUM(PT!C184)</f>
        <v>0</v>
      </c>
      <c r="BH184" s="68">
        <f ca="1">SUM(CCLC!C184)</f>
        <v>0</v>
      </c>
      <c r="BI184" s="68">
        <f ca="1">BI68*0.01</f>
        <v>0</v>
      </c>
      <c r="BJ184" s="68">
        <f ca="1">BJ68*0.01</f>
        <v>0</v>
      </c>
      <c r="BK184" s="68">
        <f ca="1">SUM(FS!D184)</f>
        <v>0</v>
      </c>
      <c r="BL184" s="68">
        <f ca="1">SUM(IT!D184)</f>
        <v>0</v>
      </c>
      <c r="BM184" s="92"/>
      <c r="BN184" s="69">
        <f t="shared" si="99"/>
        <v>0</v>
      </c>
    </row>
    <row r="185" spans="1:66">
      <c r="A185" s="33" t="s">
        <v>465</v>
      </c>
      <c r="B185" s="33" t="s">
        <v>466</v>
      </c>
      <c r="C185" s="55"/>
      <c r="D185" s="55">
        <f t="shared" si="100"/>
        <v>0</v>
      </c>
      <c r="E185" s="55">
        <f>SUM(N185:AQ185)</f>
        <v>0</v>
      </c>
      <c r="F185" s="55">
        <f t="shared" si="102"/>
        <v>0</v>
      </c>
      <c r="G185" s="55"/>
      <c r="H185" s="55"/>
      <c r="I185" s="87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74"/>
      <c r="BA185" s="22">
        <f ca="1">SUM('AC-SVC'!C185)</f>
        <v>0</v>
      </c>
      <c r="BB185" s="22">
        <f ca="1">SUM('AC-SVC'!D185)</f>
        <v>0</v>
      </c>
      <c r="BC185" s="22">
        <f ca="1">SUM('AC-SVC'!E185)</f>
        <v>0</v>
      </c>
      <c r="BD185" s="22">
        <f ca="1">SUM('AC-SVC'!F185)</f>
        <v>0</v>
      </c>
      <c r="BE185" s="22">
        <f ca="1">SUM('AC-SVC'!G185)</f>
        <v>0</v>
      </c>
      <c r="BF185" s="40">
        <f ca="1">SUM('AC-SVC'!H185)</f>
        <v>0</v>
      </c>
      <c r="BG185" s="40">
        <f ca="1">SUM(PT!C185)</f>
        <v>0</v>
      </c>
      <c r="BH185" s="22">
        <f ca="1">SUM(CCLC!C185)</f>
        <v>0</v>
      </c>
      <c r="BI185" s="22">
        <f ca="1">SUM(FC!D185)</f>
        <v>0</v>
      </c>
      <c r="BJ185" s="40">
        <f ca="1">SUM(FN!G185)</f>
        <v>0</v>
      </c>
      <c r="BK185" s="22">
        <f ca="1">SUM(FS!D185)</f>
        <v>0</v>
      </c>
      <c r="BL185" s="22">
        <f ca="1">SUM(IT!D185)</f>
        <v>0</v>
      </c>
      <c r="BM185" s="92"/>
      <c r="BN185" s="70">
        <f t="shared" si="99"/>
        <v>0</v>
      </c>
    </row>
    <row r="186" spans="1:66">
      <c r="B186" s="33" t="s">
        <v>168</v>
      </c>
      <c r="C186" s="54">
        <f t="shared" ref="C186:AY186" si="103">SUM(C175:C185)</f>
        <v>907289.75</v>
      </c>
      <c r="D186" s="54">
        <f t="shared" si="103"/>
        <v>0</v>
      </c>
      <c r="E186" s="54">
        <f t="shared" si="103"/>
        <v>0</v>
      </c>
      <c r="F186" s="54">
        <f t="shared" si="103"/>
        <v>0</v>
      </c>
      <c r="G186" s="54">
        <f t="shared" si="103"/>
        <v>0</v>
      </c>
      <c r="H186" s="54">
        <f t="shared" si="103"/>
        <v>0</v>
      </c>
      <c r="I186" s="87"/>
      <c r="J186" s="54">
        <f t="shared" si="103"/>
        <v>0</v>
      </c>
      <c r="K186" s="54">
        <f t="shared" si="103"/>
        <v>0</v>
      </c>
      <c r="L186" s="54">
        <f t="shared" si="103"/>
        <v>0</v>
      </c>
      <c r="M186" s="54">
        <f t="shared" si="103"/>
        <v>0</v>
      </c>
      <c r="N186" s="54">
        <f t="shared" si="103"/>
        <v>0</v>
      </c>
      <c r="O186" s="54">
        <f t="shared" si="103"/>
        <v>0</v>
      </c>
      <c r="P186" s="54">
        <f t="shared" si="103"/>
        <v>0</v>
      </c>
      <c r="Q186" s="54">
        <f t="shared" si="103"/>
        <v>0</v>
      </c>
      <c r="R186" s="54">
        <f t="shared" si="103"/>
        <v>0</v>
      </c>
      <c r="S186" s="54">
        <f t="shared" si="103"/>
        <v>0</v>
      </c>
      <c r="T186" s="54">
        <f t="shared" si="103"/>
        <v>0</v>
      </c>
      <c r="U186" s="54">
        <f t="shared" si="103"/>
        <v>0</v>
      </c>
      <c r="V186" s="54">
        <f t="shared" si="103"/>
        <v>0</v>
      </c>
      <c r="W186" s="54">
        <f t="shared" si="103"/>
        <v>0</v>
      </c>
      <c r="X186" s="54">
        <f t="shared" si="103"/>
        <v>0</v>
      </c>
      <c r="Y186" s="54">
        <f t="shared" si="103"/>
        <v>0</v>
      </c>
      <c r="Z186" s="54">
        <f t="shared" si="103"/>
        <v>0</v>
      </c>
      <c r="AA186" s="54">
        <f t="shared" si="103"/>
        <v>0</v>
      </c>
      <c r="AB186" s="54">
        <f t="shared" si="103"/>
        <v>0</v>
      </c>
      <c r="AC186" s="54">
        <f t="shared" si="103"/>
        <v>0</v>
      </c>
      <c r="AD186" s="54">
        <f t="shared" si="103"/>
        <v>0</v>
      </c>
      <c r="AE186" s="54">
        <f t="shared" si="103"/>
        <v>0</v>
      </c>
      <c r="AF186" s="54">
        <f t="shared" si="103"/>
        <v>0</v>
      </c>
      <c r="AG186" s="54">
        <f t="shared" si="103"/>
        <v>0</v>
      </c>
      <c r="AH186" s="54">
        <f t="shared" si="103"/>
        <v>0</v>
      </c>
      <c r="AI186" s="54">
        <f t="shared" si="103"/>
        <v>0</v>
      </c>
      <c r="AJ186" s="54">
        <f t="shared" si="103"/>
        <v>0</v>
      </c>
      <c r="AK186" s="54">
        <f t="shared" si="103"/>
        <v>0</v>
      </c>
      <c r="AL186" s="54">
        <f t="shared" si="103"/>
        <v>0</v>
      </c>
      <c r="AM186" s="54">
        <f t="shared" si="103"/>
        <v>0</v>
      </c>
      <c r="AN186" s="54">
        <f t="shared" si="103"/>
        <v>0</v>
      </c>
      <c r="AO186" s="54">
        <f t="shared" si="103"/>
        <v>0</v>
      </c>
      <c r="AP186" s="54">
        <f t="shared" si="103"/>
        <v>0</v>
      </c>
      <c r="AQ186" s="54">
        <f t="shared" si="103"/>
        <v>0</v>
      </c>
      <c r="AR186" s="54">
        <f t="shared" si="103"/>
        <v>0</v>
      </c>
      <c r="AS186" s="54">
        <f t="shared" si="103"/>
        <v>0</v>
      </c>
      <c r="AT186" s="54">
        <f t="shared" si="103"/>
        <v>0</v>
      </c>
      <c r="AU186" s="54">
        <f t="shared" si="103"/>
        <v>0</v>
      </c>
      <c r="AV186" s="54">
        <f t="shared" si="103"/>
        <v>0</v>
      </c>
      <c r="AW186" s="54">
        <f t="shared" si="103"/>
        <v>0</v>
      </c>
      <c r="AX186" s="54">
        <f t="shared" si="103"/>
        <v>0</v>
      </c>
      <c r="AY186" s="54">
        <f t="shared" si="103"/>
        <v>0</v>
      </c>
      <c r="AZ186" s="74"/>
      <c r="BA186" s="39">
        <f t="shared" ref="BA186:BG186" si="104">SUM(BA175:BA185)</f>
        <v>0</v>
      </c>
      <c r="BB186" s="39">
        <f t="shared" si="104"/>
        <v>0</v>
      </c>
      <c r="BC186" s="39">
        <f t="shared" si="104"/>
        <v>0</v>
      </c>
      <c r="BD186" s="39">
        <f t="shared" si="104"/>
        <v>0</v>
      </c>
      <c r="BE186" s="39">
        <f t="shared" si="104"/>
        <v>120</v>
      </c>
      <c r="BF186" s="39">
        <f t="shared" si="104"/>
        <v>0</v>
      </c>
      <c r="BG186" s="39">
        <f t="shared" si="104"/>
        <v>11205</v>
      </c>
      <c r="BH186" s="39">
        <f>SUM(BH175:BH185)</f>
        <v>12087.72727272727</v>
      </c>
      <c r="BI186" s="39">
        <f>SUM(BI175:BI185)</f>
        <v>0</v>
      </c>
      <c r="BJ186" s="39">
        <f>SUM(BJ175:BJ185)</f>
        <v>0</v>
      </c>
      <c r="BK186" s="39">
        <f>SUM(BK175:BK185)</f>
        <v>15240</v>
      </c>
      <c r="BL186" s="39">
        <f>SUM(BL175:BL185)</f>
        <v>0</v>
      </c>
      <c r="BM186" s="74"/>
      <c r="BN186" s="57">
        <f>SUM(BN175:BN185)</f>
        <v>945942.47727272729</v>
      </c>
    </row>
    <row r="187" spans="1:66">
      <c r="C187" s="54"/>
      <c r="D187" s="54"/>
      <c r="E187" s="54"/>
      <c r="F187" s="54"/>
      <c r="G187" s="54"/>
      <c r="H187" s="54"/>
      <c r="I187" s="87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74"/>
      <c r="BA187" s="39"/>
      <c r="BB187" s="54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74"/>
      <c r="BN187" s="57"/>
    </row>
    <row r="188" spans="1:66" s="32" customFormat="1" ht="10.5">
      <c r="A188" s="37"/>
      <c r="B188" s="37" t="s">
        <v>169</v>
      </c>
      <c r="C188" s="57">
        <f t="shared" ref="C188:AY188" si="105">+C122+C133+C141+C150+C155+C171+C186</f>
        <v>1543309.75</v>
      </c>
      <c r="D188" s="57">
        <f t="shared" si="105"/>
        <v>8400</v>
      </c>
      <c r="E188" s="57">
        <f t="shared" si="105"/>
        <v>59000</v>
      </c>
      <c r="F188" s="57">
        <f t="shared" si="105"/>
        <v>16800</v>
      </c>
      <c r="G188" s="57">
        <f t="shared" si="105"/>
        <v>4320</v>
      </c>
      <c r="H188" s="57">
        <f t="shared" si="105"/>
        <v>1910</v>
      </c>
      <c r="I188" s="91"/>
      <c r="J188" s="57">
        <f t="shared" si="105"/>
        <v>2100</v>
      </c>
      <c r="K188" s="57">
        <f t="shared" si="105"/>
        <v>2100</v>
      </c>
      <c r="L188" s="57">
        <f t="shared" si="105"/>
        <v>2100</v>
      </c>
      <c r="M188" s="57">
        <f t="shared" si="105"/>
        <v>2100</v>
      </c>
      <c r="N188" s="57">
        <f t="shared" si="105"/>
        <v>2100</v>
      </c>
      <c r="O188" s="57">
        <f t="shared" si="105"/>
        <v>2100</v>
      </c>
      <c r="P188" s="57">
        <f t="shared" si="105"/>
        <v>2100</v>
      </c>
      <c r="Q188" s="57">
        <f t="shared" si="105"/>
        <v>2100</v>
      </c>
      <c r="R188" s="57">
        <f t="shared" si="105"/>
        <v>2100</v>
      </c>
      <c r="S188" s="57">
        <f t="shared" si="105"/>
        <v>2100</v>
      </c>
      <c r="T188" s="57">
        <f t="shared" si="105"/>
        <v>2100</v>
      </c>
      <c r="U188" s="57">
        <f t="shared" si="105"/>
        <v>2100</v>
      </c>
      <c r="V188" s="57">
        <f t="shared" si="105"/>
        <v>1100</v>
      </c>
      <c r="W188" s="57">
        <f t="shared" si="105"/>
        <v>2100</v>
      </c>
      <c r="X188" s="57">
        <f t="shared" si="105"/>
        <v>2100</v>
      </c>
      <c r="Y188" s="57">
        <f t="shared" si="105"/>
        <v>2100</v>
      </c>
      <c r="Z188" s="57">
        <f t="shared" si="105"/>
        <v>2100</v>
      </c>
      <c r="AA188" s="57">
        <f t="shared" si="105"/>
        <v>1100</v>
      </c>
      <c r="AB188" s="57">
        <f t="shared" si="105"/>
        <v>2100</v>
      </c>
      <c r="AC188" s="57">
        <f t="shared" si="105"/>
        <v>2100</v>
      </c>
      <c r="AD188" s="57">
        <f t="shared" si="105"/>
        <v>2100</v>
      </c>
      <c r="AE188" s="57">
        <f t="shared" si="105"/>
        <v>2100</v>
      </c>
      <c r="AF188" s="57">
        <f t="shared" si="105"/>
        <v>1100</v>
      </c>
      <c r="AG188" s="57">
        <f t="shared" si="105"/>
        <v>2100</v>
      </c>
      <c r="AH188" s="57">
        <f t="shared" si="105"/>
        <v>2100</v>
      </c>
      <c r="AI188" s="57">
        <f t="shared" si="105"/>
        <v>2100</v>
      </c>
      <c r="AJ188" s="57">
        <f t="shared" si="105"/>
        <v>2100</v>
      </c>
      <c r="AK188" s="57">
        <f t="shared" si="105"/>
        <v>1100</v>
      </c>
      <c r="AL188" s="57">
        <f t="shared" si="105"/>
        <v>2100</v>
      </c>
      <c r="AM188" s="57">
        <f t="shared" si="105"/>
        <v>2100</v>
      </c>
      <c r="AN188" s="57">
        <f t="shared" si="105"/>
        <v>2100</v>
      </c>
      <c r="AO188" s="57">
        <f t="shared" si="105"/>
        <v>2100</v>
      </c>
      <c r="AP188" s="57">
        <f t="shared" si="105"/>
        <v>2100</v>
      </c>
      <c r="AQ188" s="57">
        <f t="shared" si="105"/>
        <v>2100</v>
      </c>
      <c r="AR188" s="57">
        <f t="shared" si="105"/>
        <v>2100</v>
      </c>
      <c r="AS188" s="57">
        <f t="shared" si="105"/>
        <v>2100</v>
      </c>
      <c r="AT188" s="57">
        <f t="shared" si="105"/>
        <v>2100</v>
      </c>
      <c r="AU188" s="57">
        <f t="shared" si="105"/>
        <v>2100</v>
      </c>
      <c r="AV188" s="57">
        <f t="shared" si="105"/>
        <v>2100</v>
      </c>
      <c r="AW188" s="57">
        <f t="shared" si="105"/>
        <v>2100</v>
      </c>
      <c r="AX188" s="57">
        <f t="shared" si="105"/>
        <v>2100</v>
      </c>
      <c r="AY188" s="57">
        <f t="shared" si="105"/>
        <v>2100</v>
      </c>
      <c r="AZ188" s="81"/>
      <c r="BA188" s="41">
        <f t="shared" ref="BA188:BF188" si="106">+BA122+BA133+BA141+BA150+BA155+BA171+BA186</f>
        <v>19150</v>
      </c>
      <c r="BB188" s="57">
        <f t="shared" si="106"/>
        <v>7570</v>
      </c>
      <c r="BC188" s="41">
        <f t="shared" si="106"/>
        <v>9570</v>
      </c>
      <c r="BD188" s="41">
        <f t="shared" si="106"/>
        <v>6470</v>
      </c>
      <c r="BE188" s="41">
        <f t="shared" si="106"/>
        <v>14973</v>
      </c>
      <c r="BF188" s="41">
        <f t="shared" si="106"/>
        <v>5760</v>
      </c>
      <c r="BG188" s="41">
        <f t="shared" ref="BG188:BL188" si="107">+BG122+BG133+BG141+BG150+BG155+BG171+BG186</f>
        <v>33805</v>
      </c>
      <c r="BH188" s="41">
        <f t="shared" si="107"/>
        <v>155454.8751147842</v>
      </c>
      <c r="BI188" s="41">
        <f t="shared" si="107"/>
        <v>203912.97500000001</v>
      </c>
      <c r="BJ188" s="41">
        <f t="shared" si="107"/>
        <v>0</v>
      </c>
      <c r="BK188" s="41">
        <f t="shared" si="107"/>
        <v>190747</v>
      </c>
      <c r="BL188" s="41">
        <f t="shared" si="107"/>
        <v>245243.94999999998</v>
      </c>
      <c r="BM188" s="77"/>
      <c r="BN188" s="57">
        <f>+BN122+BN133+BN141+BN150+BN155+BN171+BN186</f>
        <v>2526396.5501147844</v>
      </c>
    </row>
    <row r="189" spans="1:66">
      <c r="C189" s="54"/>
      <c r="D189" s="54"/>
      <c r="E189" s="54"/>
      <c r="F189" s="54"/>
      <c r="G189" s="54"/>
      <c r="H189" s="54"/>
      <c r="I189" s="87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78"/>
      <c r="BA189" s="39"/>
      <c r="BB189" s="54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74"/>
      <c r="BN189" s="57"/>
    </row>
    <row r="190" spans="1:66">
      <c r="B190" s="37" t="s">
        <v>476</v>
      </c>
      <c r="C190" s="54">
        <f t="shared" ref="C190:AY190" si="108">SUM(C104+C188)</f>
        <v>1548309.75</v>
      </c>
      <c r="D190" s="54">
        <f t="shared" si="108"/>
        <v>388172.27585026028</v>
      </c>
      <c r="E190" s="54">
        <f t="shared" si="108"/>
        <v>2480966.6509044426</v>
      </c>
      <c r="F190" s="54">
        <f t="shared" si="108"/>
        <v>517321.3542548102</v>
      </c>
      <c r="G190" s="54">
        <f t="shared" si="108"/>
        <v>196149.92359266503</v>
      </c>
      <c r="H190" s="54">
        <f t="shared" si="108"/>
        <v>144739.58101736131</v>
      </c>
      <c r="I190" s="87"/>
      <c r="J190" s="54">
        <f t="shared" si="108"/>
        <v>109831.08885277902</v>
      </c>
      <c r="K190" s="54">
        <f t="shared" si="108"/>
        <v>95183.08360928153</v>
      </c>
      <c r="L190" s="54">
        <f t="shared" si="108"/>
        <v>94368.368014166641</v>
      </c>
      <c r="M190" s="54">
        <f t="shared" si="108"/>
        <v>88789.73537403316</v>
      </c>
      <c r="N190" s="54">
        <f t="shared" si="108"/>
        <v>89142.643289118831</v>
      </c>
      <c r="O190" s="54">
        <f t="shared" si="108"/>
        <v>100409.3466396587</v>
      </c>
      <c r="P190" s="54">
        <f t="shared" si="108"/>
        <v>93638.300182183768</v>
      </c>
      <c r="Q190" s="54">
        <f t="shared" si="108"/>
        <v>93569.345930397831</v>
      </c>
      <c r="R190" s="54">
        <f t="shared" si="108"/>
        <v>83559.158040080481</v>
      </c>
      <c r="S190" s="54">
        <f t="shared" si="108"/>
        <v>94033.683609281521</v>
      </c>
      <c r="T190" s="54">
        <f t="shared" si="108"/>
        <v>91812.563694372322</v>
      </c>
      <c r="U190" s="54">
        <f t="shared" si="108"/>
        <v>82842.919562728843</v>
      </c>
      <c r="V190" s="54">
        <f t="shared" si="108"/>
        <v>59831.058338764095</v>
      </c>
      <c r="W190" s="54">
        <f t="shared" si="108"/>
        <v>84747.796334505794</v>
      </c>
      <c r="X190" s="54">
        <f t="shared" si="108"/>
        <v>84797.275349510703</v>
      </c>
      <c r="Y190" s="54">
        <f t="shared" si="108"/>
        <v>87440.519562728849</v>
      </c>
      <c r="Z190" s="54">
        <f t="shared" si="108"/>
        <v>91339.500182183765</v>
      </c>
      <c r="AA190" s="54">
        <f t="shared" si="108"/>
        <v>57238.990631304325</v>
      </c>
      <c r="AB190" s="54">
        <f t="shared" si="108"/>
        <v>72846.885773129863</v>
      </c>
      <c r="AC190" s="54">
        <f t="shared" si="108"/>
        <v>79911.653132996391</v>
      </c>
      <c r="AD190" s="54">
        <f t="shared" si="108"/>
        <v>77920.609802971798</v>
      </c>
      <c r="AE190" s="54">
        <f t="shared" si="108"/>
        <v>79238.377162838326</v>
      </c>
      <c r="AF190" s="54">
        <f t="shared" si="108"/>
        <v>61555.1583387641</v>
      </c>
      <c r="AG190" s="54">
        <f t="shared" si="108"/>
        <v>75877.875925033193</v>
      </c>
      <c r="AH190" s="54">
        <f t="shared" si="108"/>
        <v>75389.173089104326</v>
      </c>
      <c r="AI190" s="54">
        <f t="shared" si="108"/>
        <v>62836.590631304323</v>
      </c>
      <c r="AJ190" s="54">
        <f t="shared" si="108"/>
        <v>62015.754000000001</v>
      </c>
      <c r="AK190" s="54">
        <f t="shared" si="108"/>
        <v>53583.18497701249</v>
      </c>
      <c r="AL190" s="54">
        <f t="shared" si="108"/>
        <v>131489.24326031681</v>
      </c>
      <c r="AM190" s="54">
        <f t="shared" si="108"/>
        <v>160697.63975897757</v>
      </c>
      <c r="AN190" s="54">
        <f t="shared" si="108"/>
        <v>97734.500253078557</v>
      </c>
      <c r="AO190" s="54">
        <f t="shared" si="108"/>
        <v>55771.823271437795</v>
      </c>
      <c r="AP190" s="54">
        <f t="shared" si="108"/>
        <v>114825.08595040027</v>
      </c>
      <c r="AQ190" s="54">
        <f t="shared" si="108"/>
        <v>24869.994230257493</v>
      </c>
      <c r="AR190" s="54">
        <f t="shared" si="108"/>
        <v>80342.910681437803</v>
      </c>
      <c r="AS190" s="54">
        <f t="shared" si="108"/>
        <v>55771.823271437795</v>
      </c>
      <c r="AT190" s="54">
        <f t="shared" si="108"/>
        <v>56990.177523223734</v>
      </c>
      <c r="AU190" s="54">
        <f t="shared" si="108"/>
        <v>55771.823271437795</v>
      </c>
      <c r="AV190" s="54">
        <f t="shared" si="108"/>
        <v>63273.1976</v>
      </c>
      <c r="AW190" s="54">
        <f t="shared" si="108"/>
        <v>83910.266284835598</v>
      </c>
      <c r="AX190" s="54">
        <f t="shared" si="108"/>
        <v>42658.06916671856</v>
      </c>
      <c r="AY190" s="54">
        <f t="shared" si="108"/>
        <v>78603.086455718905</v>
      </c>
      <c r="AZ190" s="78"/>
      <c r="BA190" s="54">
        <f>SUM(BA104+BA188)</f>
        <v>49503.710320659084</v>
      </c>
      <c r="BB190" s="54">
        <f t="shared" ref="BB190:BL190" si="109">SUM(BB104+BB188)</f>
        <v>70827.778011008195</v>
      </c>
      <c r="BC190" s="54">
        <f t="shared" si="109"/>
        <v>64439.473127400001</v>
      </c>
      <c r="BD190" s="54">
        <f t="shared" si="109"/>
        <v>69716.879606158676</v>
      </c>
      <c r="BE190" s="54">
        <f t="shared" si="109"/>
        <v>84229.816165040014</v>
      </c>
      <c r="BF190" s="54">
        <f t="shared" si="109"/>
        <v>32068.247993600002</v>
      </c>
      <c r="BG190" s="54">
        <f t="shared" si="109"/>
        <v>66466.014904000011</v>
      </c>
      <c r="BH190" s="54">
        <f t="shared" si="109"/>
        <v>200115.74905417813</v>
      </c>
      <c r="BI190" s="54">
        <f t="shared" si="109"/>
        <v>366991.80181920005</v>
      </c>
      <c r="BJ190" s="54">
        <f t="shared" si="109"/>
        <v>0</v>
      </c>
      <c r="BK190" s="54">
        <f t="shared" si="109"/>
        <v>322837.54456100002</v>
      </c>
      <c r="BL190" s="54">
        <f t="shared" si="109"/>
        <v>266412.06096874288</v>
      </c>
      <c r="BM190" s="74"/>
      <c r="BN190" s="57">
        <f>SUM(BN104+BN188)</f>
        <v>6869268.6121505275</v>
      </c>
    </row>
    <row r="191" spans="1:66">
      <c r="C191" s="54"/>
      <c r="D191" s="54"/>
      <c r="E191" s="54"/>
      <c r="F191" s="54"/>
      <c r="G191" s="54"/>
      <c r="H191" s="54"/>
      <c r="I191" s="87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78"/>
      <c r="BA191" s="39"/>
      <c r="BB191" s="54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74"/>
      <c r="BN191" s="57"/>
    </row>
    <row r="192" spans="1:66" s="32" customFormat="1" ht="10.5">
      <c r="A192" s="37"/>
      <c r="B192" s="37" t="s">
        <v>170</v>
      </c>
      <c r="C192" s="57">
        <f t="shared" ref="C192:AY192" si="110">SUM(C68-C190)</f>
        <v>4528955.25</v>
      </c>
      <c r="D192" s="57">
        <f t="shared" si="110"/>
        <v>-388172.27585026028</v>
      </c>
      <c r="E192" s="57">
        <f t="shared" si="110"/>
        <v>-2480966.6509044426</v>
      </c>
      <c r="F192" s="57">
        <f t="shared" si="110"/>
        <v>-517321.3542548102</v>
      </c>
      <c r="G192" s="57">
        <f t="shared" si="110"/>
        <v>-196149.92359266503</v>
      </c>
      <c r="H192" s="57">
        <f t="shared" si="110"/>
        <v>-144739.58101736131</v>
      </c>
      <c r="I192" s="91"/>
      <c r="J192" s="57">
        <f t="shared" si="110"/>
        <v>-109831.08885277902</v>
      </c>
      <c r="K192" s="57">
        <f t="shared" si="110"/>
        <v>-95183.08360928153</v>
      </c>
      <c r="L192" s="57">
        <f t="shared" si="110"/>
        <v>-94368.368014166641</v>
      </c>
      <c r="M192" s="57">
        <f t="shared" si="110"/>
        <v>-88789.73537403316</v>
      </c>
      <c r="N192" s="57">
        <f t="shared" si="110"/>
        <v>-89142.643289118831</v>
      </c>
      <c r="O192" s="57">
        <f t="shared" si="110"/>
        <v>-100409.3466396587</v>
      </c>
      <c r="P192" s="57">
        <f t="shared" si="110"/>
        <v>-93638.300182183768</v>
      </c>
      <c r="Q192" s="57">
        <f t="shared" si="110"/>
        <v>-93569.345930397831</v>
      </c>
      <c r="R192" s="57">
        <f t="shared" si="110"/>
        <v>-83559.158040080481</v>
      </c>
      <c r="S192" s="57">
        <f t="shared" si="110"/>
        <v>-94033.683609281521</v>
      </c>
      <c r="T192" s="57">
        <f t="shared" si="110"/>
        <v>-91812.563694372322</v>
      </c>
      <c r="U192" s="57">
        <f t="shared" si="110"/>
        <v>-82842.919562728843</v>
      </c>
      <c r="V192" s="57">
        <f t="shared" si="110"/>
        <v>-59831.058338764095</v>
      </c>
      <c r="W192" s="57">
        <f t="shared" si="110"/>
        <v>-84747.796334505794</v>
      </c>
      <c r="X192" s="57">
        <f t="shared" si="110"/>
        <v>-84797.275349510703</v>
      </c>
      <c r="Y192" s="57">
        <f t="shared" si="110"/>
        <v>-87440.519562728849</v>
      </c>
      <c r="Z192" s="57">
        <f t="shared" si="110"/>
        <v>-91339.500182183765</v>
      </c>
      <c r="AA192" s="57">
        <f t="shared" si="110"/>
        <v>-57238.990631304325</v>
      </c>
      <c r="AB192" s="57">
        <f t="shared" si="110"/>
        <v>-72846.885773129863</v>
      </c>
      <c r="AC192" s="57">
        <f t="shared" si="110"/>
        <v>-79911.653132996391</v>
      </c>
      <c r="AD192" s="57">
        <f t="shared" si="110"/>
        <v>-77920.609802971798</v>
      </c>
      <c r="AE192" s="57">
        <f t="shared" si="110"/>
        <v>-79238.377162838326</v>
      </c>
      <c r="AF192" s="57">
        <f t="shared" si="110"/>
        <v>-61555.1583387641</v>
      </c>
      <c r="AG192" s="57">
        <f t="shared" si="110"/>
        <v>-75877.875925033193</v>
      </c>
      <c r="AH192" s="57">
        <f t="shared" si="110"/>
        <v>-75389.173089104326</v>
      </c>
      <c r="AI192" s="57">
        <f t="shared" si="110"/>
        <v>-62836.590631304323</v>
      </c>
      <c r="AJ192" s="57">
        <f t="shared" si="110"/>
        <v>-62015.754000000001</v>
      </c>
      <c r="AK192" s="57">
        <f t="shared" si="110"/>
        <v>-53583.18497701249</v>
      </c>
      <c r="AL192" s="57">
        <f t="shared" si="110"/>
        <v>-131489.24326031681</v>
      </c>
      <c r="AM192" s="57">
        <f t="shared" si="110"/>
        <v>-160697.63975897757</v>
      </c>
      <c r="AN192" s="57">
        <f t="shared" si="110"/>
        <v>-97734.500253078557</v>
      </c>
      <c r="AO192" s="57">
        <f t="shared" si="110"/>
        <v>-55771.823271437795</v>
      </c>
      <c r="AP192" s="57">
        <f t="shared" si="110"/>
        <v>-114825.08595040027</v>
      </c>
      <c r="AQ192" s="57">
        <f t="shared" si="110"/>
        <v>-24869.994230257493</v>
      </c>
      <c r="AR192" s="57">
        <f t="shared" si="110"/>
        <v>-80342.910681437803</v>
      </c>
      <c r="AS192" s="57">
        <f t="shared" si="110"/>
        <v>-55771.823271437795</v>
      </c>
      <c r="AT192" s="57">
        <f t="shared" si="110"/>
        <v>-56990.177523223734</v>
      </c>
      <c r="AU192" s="57">
        <f t="shared" si="110"/>
        <v>-55771.823271437795</v>
      </c>
      <c r="AV192" s="57">
        <f t="shared" si="110"/>
        <v>-63273.1976</v>
      </c>
      <c r="AW192" s="57">
        <f t="shared" si="110"/>
        <v>-83910.266284835598</v>
      </c>
      <c r="AX192" s="57">
        <f t="shared" si="110"/>
        <v>-42658.06916671856</v>
      </c>
      <c r="AY192" s="57">
        <f t="shared" si="110"/>
        <v>-78603.086455718905</v>
      </c>
      <c r="AZ192" s="81"/>
      <c r="BA192" s="41">
        <f t="shared" ref="BA192:BL192" si="111">+BA68-BA104-BA188</f>
        <v>-49503.710320659084</v>
      </c>
      <c r="BB192" s="57">
        <f t="shared" si="111"/>
        <v>54172.221988991798</v>
      </c>
      <c r="BC192" s="41">
        <f t="shared" si="111"/>
        <v>-64439.473127400001</v>
      </c>
      <c r="BD192" s="41">
        <f t="shared" si="111"/>
        <v>-69716.879606158676</v>
      </c>
      <c r="BE192" s="41">
        <f t="shared" si="111"/>
        <v>-83429.816165040014</v>
      </c>
      <c r="BF192" s="41">
        <f t="shared" si="111"/>
        <v>-32068.247993600002</v>
      </c>
      <c r="BG192" s="41">
        <f t="shared" si="111"/>
        <v>8233.9850959999967</v>
      </c>
      <c r="BH192" s="41">
        <f t="shared" si="111"/>
        <v>61854.432764003694</v>
      </c>
      <c r="BI192" s="41">
        <f t="shared" si="111"/>
        <v>-366991.80181920005</v>
      </c>
      <c r="BJ192" s="41">
        <f t="shared" si="111"/>
        <v>0</v>
      </c>
      <c r="BK192" s="41">
        <f t="shared" si="111"/>
        <v>-14989.544561000017</v>
      </c>
      <c r="BL192" s="41">
        <f t="shared" si="111"/>
        <v>-244613.66896874292</v>
      </c>
      <c r="BM192" s="77"/>
      <c r="BN192" s="57">
        <f>SUM(BN68-BN190)</f>
        <v>112.96166765410453</v>
      </c>
    </row>
    <row r="193" spans="4:63">
      <c r="D193" s="28">
        <f>+SUM(J192:M192)-D192</f>
        <v>0</v>
      </c>
      <c r="E193" s="28">
        <f>+SUM(N192:AQ192)-E192</f>
        <v>0</v>
      </c>
      <c r="F193" s="28">
        <f>+SUM(AR192:AY192)-F192</f>
        <v>0</v>
      </c>
      <c r="BA193" s="59"/>
      <c r="BB193" s="60"/>
      <c r="BC193" s="59"/>
      <c r="BD193" s="59"/>
      <c r="BE193" s="59"/>
      <c r="BH193" s="39"/>
      <c r="BI193" s="39"/>
      <c r="BK193" s="39"/>
    </row>
    <row r="194" spans="4:63">
      <c r="BA194" s="59"/>
      <c r="BB194" s="60"/>
      <c r="BC194" s="59"/>
      <c r="BD194" s="59"/>
      <c r="BE194" s="59"/>
    </row>
    <row r="195" spans="4:63">
      <c r="BA195" s="59"/>
      <c r="BB195" s="60"/>
      <c r="BC195" s="59"/>
      <c r="BD195" s="59"/>
      <c r="BE195" s="59"/>
    </row>
    <row r="196" spans="4:63">
      <c r="BA196" s="59"/>
      <c r="BB196" s="60"/>
      <c r="BC196" s="59"/>
      <c r="BD196" s="59"/>
      <c r="BE196" s="59"/>
    </row>
  </sheetData>
  <phoneticPr fontId="3" type="noConversion"/>
  <pageMargins left="0.75" right="0.75" top="1" bottom="1" header="0.5" footer="0.5"/>
  <pageSetup paperSize="5" scale="66" fitToWidth="3" fitToHeight="3" orientation="landscape" r:id="rId1"/>
  <headerFooter alignWithMargins="0">
    <oddHeader>&amp;C&amp;"MS Sans Serif,Bold"&amp;18INTERNATIONAL SCHOOL of LOUISIANA
CAMP STREET CAMPUS
Budget '12-2013</oddHeader>
    <oddFooter>&amp;L&amp;6&amp;Z&amp;F&amp;R&amp;P of &amp;N</oddFooter>
  </headerFooter>
  <ignoredErrors>
    <ignoredError sqref="V84 AA84 E95:E102" formula="1"/>
    <ignoredError sqref="D7 F7 D110 F110 D154 F154 F158 E110:E118" formulaRange="1"/>
    <ignoredError sqref="BA10:BL10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6"/>
  <sheetViews>
    <sheetView workbookViewId="0">
      <pane xSplit="2" ySplit="10" topLeftCell="I157" activePane="bottomRight" state="frozen"/>
      <selection pane="topRight" activeCell="C1" sqref="C1"/>
      <selection pane="bottomLeft" activeCell="A11" sqref="A11"/>
      <selection pane="bottomRight" activeCell="D184" sqref="D184"/>
    </sheetView>
  </sheetViews>
  <sheetFormatPr defaultColWidth="11.42578125" defaultRowHeight="11.25"/>
  <cols>
    <col min="1" max="1" width="18" style="10" customWidth="1"/>
    <col min="2" max="2" width="26.85546875" style="10" customWidth="1"/>
    <col min="3" max="7" width="11.42578125" style="1"/>
    <col min="8" max="8" width="3.28515625" style="1" customWidth="1"/>
    <col min="9" max="16" width="11.42578125" style="1" customWidth="1"/>
    <col min="17" max="20" width="11.42578125" style="1" hidden="1" customWidth="1"/>
    <col min="21" max="25" width="11.42578125" style="1" customWidth="1"/>
    <col min="26" max="26" width="3.28515625" style="1" customWidth="1"/>
    <col min="27" max="27" width="8.28515625" style="1" bestFit="1" customWidth="1"/>
    <col min="28" max="28" width="8.5703125" style="28" bestFit="1" customWidth="1"/>
    <col min="29" max="31" width="9.140625" style="1" bestFit="1" customWidth="1"/>
    <col min="32" max="32" width="11.42578125" style="1"/>
    <col min="33" max="33" width="9" style="1" bestFit="1" customWidth="1"/>
    <col min="34" max="34" width="9.5703125" style="1" bestFit="1" customWidth="1"/>
    <col min="35" max="35" width="9.28515625" style="1" bestFit="1" customWidth="1"/>
    <col min="36" max="36" width="9.85546875" style="1" bestFit="1" customWidth="1"/>
    <col min="37" max="37" width="11.85546875" style="1" bestFit="1" customWidth="1"/>
    <col min="38" max="38" width="9.140625" style="1" bestFit="1" customWidth="1"/>
    <col min="39" max="39" width="3.28515625" style="1" customWidth="1"/>
    <col min="40" max="40" width="11.42578125" style="56"/>
    <col min="41" max="16384" width="11.42578125" style="1"/>
  </cols>
  <sheetData>
    <row r="1" spans="1:40">
      <c r="A1" s="10" t="s">
        <v>418</v>
      </c>
      <c r="C1" s="1" t="s">
        <v>268</v>
      </c>
      <c r="H1" s="74"/>
      <c r="Z1" s="74"/>
      <c r="AM1" s="74"/>
    </row>
    <row r="2" spans="1:40">
      <c r="A2" s="18">
        <f ca="1">+SUM!B6:B6</f>
        <v>179</v>
      </c>
      <c r="H2" s="74"/>
      <c r="Z2" s="74"/>
      <c r="AB2" s="28" t="s">
        <v>269</v>
      </c>
      <c r="AM2" s="74"/>
    </row>
    <row r="3" spans="1:40">
      <c r="C3" s="1" t="s">
        <v>270</v>
      </c>
      <c r="H3" s="74"/>
      <c r="Z3" s="74"/>
      <c r="AM3" s="74"/>
    </row>
    <row r="4" spans="1:40">
      <c r="H4" s="74"/>
      <c r="Z4" s="74"/>
      <c r="AM4" s="74"/>
    </row>
    <row r="5" spans="1:40">
      <c r="B5" s="11"/>
      <c r="H5" s="74"/>
      <c r="Z5" s="74"/>
      <c r="AM5" s="74"/>
    </row>
    <row r="6" spans="1:40">
      <c r="F6" s="1" t="s">
        <v>445</v>
      </c>
      <c r="H6" s="74"/>
      <c r="Z6" s="74"/>
      <c r="AJ6" s="63"/>
      <c r="AL6" s="63"/>
      <c r="AM6" s="74"/>
    </row>
    <row r="7" spans="1:40" s="8" customFormat="1">
      <c r="A7" s="12"/>
      <c r="B7" s="12" t="s">
        <v>329</v>
      </c>
      <c r="C7" s="8">
        <v>0</v>
      </c>
      <c r="D7" s="51">
        <f>+SUM(I7:L7)</f>
        <v>7</v>
      </c>
      <c r="E7" s="51">
        <f>+SUM(M7:Y7)</f>
        <v>12</v>
      </c>
      <c r="F7" s="51">
        <v>2</v>
      </c>
      <c r="G7" s="51">
        <v>1</v>
      </c>
      <c r="H7" s="84"/>
      <c r="I7" s="51">
        <v>2</v>
      </c>
      <c r="J7" s="51">
        <v>2</v>
      </c>
      <c r="K7" s="51">
        <v>2</v>
      </c>
      <c r="L7" s="51">
        <v>1</v>
      </c>
      <c r="M7" s="51">
        <v>2</v>
      </c>
      <c r="N7" s="51">
        <v>2</v>
      </c>
      <c r="O7" s="51">
        <v>2</v>
      </c>
      <c r="P7" s="51">
        <v>2</v>
      </c>
      <c r="Q7" s="51">
        <v>0</v>
      </c>
      <c r="R7" s="51">
        <v>0</v>
      </c>
      <c r="S7" s="51">
        <v>0</v>
      </c>
      <c r="T7" s="51">
        <v>0</v>
      </c>
      <c r="U7" s="51">
        <v>1</v>
      </c>
      <c r="V7" s="51">
        <v>1</v>
      </c>
      <c r="W7" s="51">
        <v>0.5</v>
      </c>
      <c r="X7" s="51">
        <v>0.5</v>
      </c>
      <c r="Y7" s="51">
        <v>1</v>
      </c>
      <c r="Z7" s="84"/>
      <c r="AA7" s="164">
        <v>0.25</v>
      </c>
      <c r="AB7" s="98">
        <v>0.5</v>
      </c>
      <c r="AC7" s="165">
        <v>0.5</v>
      </c>
      <c r="AD7" s="165">
        <v>0.5</v>
      </c>
      <c r="AE7" s="165">
        <v>0.2</v>
      </c>
      <c r="AF7" s="165">
        <v>0.25</v>
      </c>
      <c r="AG7" s="164">
        <f ca="1">SUM(PT!D7)</f>
        <v>2</v>
      </c>
      <c r="AH7" s="164">
        <f ca="1">SUM(CCLC!D7)</f>
        <v>2</v>
      </c>
      <c r="AI7" s="164">
        <f ca="1">SUM(FC!E7)</f>
        <v>2</v>
      </c>
      <c r="AJ7" s="98">
        <v>0</v>
      </c>
      <c r="AK7" s="164">
        <f ca="1">SUM(FS!E7)</f>
        <v>2</v>
      </c>
      <c r="AL7" s="96">
        <f ca="1">SUM(IT!E7)</f>
        <v>0.25</v>
      </c>
      <c r="AM7" s="75"/>
      <c r="AN7" s="64">
        <f>SUM(C7:G7)+SUM(AA7:AL7)</f>
        <v>32.450000000000003</v>
      </c>
    </row>
    <row r="8" spans="1:40">
      <c r="H8" s="74"/>
      <c r="I8" s="1" t="s">
        <v>831</v>
      </c>
      <c r="J8" s="1" t="s">
        <v>832</v>
      </c>
      <c r="K8" s="1" t="s">
        <v>833</v>
      </c>
      <c r="U8" s="1" t="s">
        <v>830</v>
      </c>
      <c r="Z8" s="74"/>
      <c r="AG8" s="23">
        <f ca="1">SUM(PT!D8)</f>
        <v>25</v>
      </c>
      <c r="AH8" s="23">
        <f ca="1">SUM(CCLC!D8)</f>
        <v>50</v>
      </c>
      <c r="AM8" s="74"/>
    </row>
    <row r="9" spans="1:40">
      <c r="C9" s="1" t="s">
        <v>175</v>
      </c>
      <c r="D9" s="1" t="s">
        <v>176</v>
      </c>
      <c r="E9" s="1" t="s">
        <v>427</v>
      </c>
      <c r="F9" s="1" t="s">
        <v>419</v>
      </c>
      <c r="G9" s="1" t="s">
        <v>803</v>
      </c>
      <c r="H9" s="74"/>
      <c r="K9" s="1" t="s">
        <v>829</v>
      </c>
      <c r="Z9" s="74"/>
      <c r="AA9" s="63" t="s">
        <v>180</v>
      </c>
      <c r="AB9" s="31" t="s">
        <v>443</v>
      </c>
      <c r="AC9" s="63" t="s">
        <v>181</v>
      </c>
      <c r="AD9" s="63" t="s">
        <v>182</v>
      </c>
      <c r="AE9" s="63" t="s">
        <v>183</v>
      </c>
      <c r="AF9" s="1" t="s">
        <v>494</v>
      </c>
      <c r="AG9" s="63" t="s">
        <v>192</v>
      </c>
      <c r="AH9" s="63" t="s">
        <v>193</v>
      </c>
      <c r="AI9" s="63" t="s">
        <v>189</v>
      </c>
      <c r="AJ9" s="1" t="s">
        <v>185</v>
      </c>
      <c r="AK9" s="63" t="s">
        <v>191</v>
      </c>
      <c r="AL9" s="63" t="s">
        <v>495</v>
      </c>
      <c r="AM9" s="74"/>
    </row>
    <row r="10" spans="1:40" s="7" customFormat="1">
      <c r="A10" s="13"/>
      <c r="B10" s="13" t="s">
        <v>174</v>
      </c>
      <c r="C10" s="7">
        <v>1000</v>
      </c>
      <c r="D10" s="7">
        <v>1105</v>
      </c>
      <c r="E10" s="7" t="s">
        <v>428</v>
      </c>
      <c r="F10" s="7">
        <v>2410</v>
      </c>
      <c r="G10" s="7" t="s">
        <v>420</v>
      </c>
      <c r="H10" s="76"/>
      <c r="I10" s="7" t="s">
        <v>331</v>
      </c>
      <c r="J10" s="7" t="s">
        <v>332</v>
      </c>
      <c r="K10" s="7" t="s">
        <v>506</v>
      </c>
      <c r="L10" s="7" t="s">
        <v>429</v>
      </c>
      <c r="M10" s="7" t="s">
        <v>336</v>
      </c>
      <c r="N10" s="7" t="s">
        <v>337</v>
      </c>
      <c r="O10" s="7" t="s">
        <v>430</v>
      </c>
      <c r="P10" s="7" t="s">
        <v>516</v>
      </c>
      <c r="Q10" s="7" t="s">
        <v>341</v>
      </c>
      <c r="R10" s="7" t="s">
        <v>345</v>
      </c>
      <c r="S10" s="7" t="s">
        <v>344</v>
      </c>
      <c r="T10" s="7" t="s">
        <v>804</v>
      </c>
      <c r="U10" s="7" t="s">
        <v>365</v>
      </c>
      <c r="V10" s="7" t="s">
        <v>837</v>
      </c>
      <c r="W10" s="7" t="s">
        <v>367</v>
      </c>
      <c r="X10" s="7" t="s">
        <v>372</v>
      </c>
      <c r="Y10" s="7" t="s">
        <v>366</v>
      </c>
      <c r="Z10" s="76"/>
      <c r="AA10" s="7" t="s">
        <v>412</v>
      </c>
      <c r="AB10" s="45" t="s">
        <v>444</v>
      </c>
      <c r="AC10" s="7">
        <v>2122</v>
      </c>
      <c r="AD10" s="7">
        <v>2134</v>
      </c>
      <c r="AE10" s="7">
        <v>2252</v>
      </c>
      <c r="AG10" s="7">
        <v>3200</v>
      </c>
      <c r="AH10" s="7">
        <v>3210</v>
      </c>
      <c r="AI10" s="7">
        <v>2620</v>
      </c>
      <c r="AJ10" s="7">
        <v>2500</v>
      </c>
      <c r="AK10" s="7">
        <v>3100</v>
      </c>
      <c r="AL10" s="7">
        <v>2840</v>
      </c>
      <c r="AM10" s="76"/>
      <c r="AN10" s="58"/>
    </row>
    <row r="11" spans="1:40">
      <c r="A11" s="10" t="s">
        <v>271</v>
      </c>
      <c r="H11" s="74"/>
      <c r="Z11" s="74"/>
      <c r="AA11" s="39"/>
      <c r="AB11" s="54"/>
      <c r="AC11" s="39"/>
      <c r="AD11" s="39"/>
      <c r="AE11" s="39"/>
      <c r="AG11" s="39"/>
      <c r="AH11" s="39"/>
      <c r="AI11" s="39"/>
      <c r="AK11" s="39"/>
      <c r="AL11" s="39"/>
      <c r="AM11" s="74"/>
    </row>
    <row r="12" spans="1:40">
      <c r="A12" s="10" t="s">
        <v>272</v>
      </c>
      <c r="H12" s="74"/>
      <c r="Z12" s="74"/>
      <c r="AA12" s="39"/>
      <c r="AB12" s="54"/>
      <c r="AC12" s="39"/>
      <c r="AD12" s="39"/>
      <c r="AE12" s="39"/>
      <c r="AG12" s="39"/>
      <c r="AH12" s="39"/>
      <c r="AI12" s="39"/>
      <c r="AK12" s="39"/>
      <c r="AL12" s="39"/>
      <c r="AM12" s="74"/>
    </row>
    <row r="13" spans="1:40">
      <c r="A13" s="10" t="s">
        <v>171</v>
      </c>
      <c r="B13" s="10" t="s">
        <v>273</v>
      </c>
      <c r="C13" s="39">
        <v>25000</v>
      </c>
      <c r="D13" s="39">
        <f t="shared" ref="D13:D37" si="0">SUM(I13:L13)</f>
        <v>0</v>
      </c>
      <c r="E13" s="39">
        <f t="shared" ref="E13:E37" si="1">+SUM(M13:Y13)</f>
        <v>0</v>
      </c>
      <c r="F13" s="39"/>
      <c r="G13" s="39"/>
      <c r="H13" s="7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74"/>
      <c r="AA13" s="61">
        <f ca="1">SUM('AC-SVC'!C13)</f>
        <v>0</v>
      </c>
      <c r="AB13" s="61">
        <f ca="1">SUM('AC-SVC'!D13)</f>
        <v>0</v>
      </c>
      <c r="AC13" s="61">
        <f ca="1">SUM('AC-SVC'!E13)</f>
        <v>0</v>
      </c>
      <c r="AD13" s="61">
        <f ca="1">SUM('AC-SVC'!F13)</f>
        <v>0</v>
      </c>
      <c r="AE13" s="61">
        <f ca="1">SUM('AC-SVC'!G13)</f>
        <v>0</v>
      </c>
      <c r="AF13" s="61">
        <f ca="1">SUM('AC-SVC'!H13)</f>
        <v>0</v>
      </c>
      <c r="AG13" s="61">
        <f ca="1">SUM(PT!D13)</f>
        <v>0</v>
      </c>
      <c r="AH13" s="61">
        <f ca="1">SUM(CCLC!D13)</f>
        <v>0</v>
      </c>
      <c r="AI13" s="39">
        <f ca="1">SUM(FC!E13)</f>
        <v>0</v>
      </c>
      <c r="AJ13" s="61">
        <v>0</v>
      </c>
      <c r="AK13" s="39">
        <f ca="1">SUM(FS!E13)</f>
        <v>0</v>
      </c>
      <c r="AL13" s="61">
        <f ca="1">SUM(IT!E13)</f>
        <v>0</v>
      </c>
      <c r="AM13" s="74"/>
      <c r="AN13" s="67">
        <f t="shared" ref="AN13:AN37" si="2">SUM(C13:G13)+SUM(AA13:AL13)</f>
        <v>25000</v>
      </c>
    </row>
    <row r="14" spans="1:40">
      <c r="A14" s="10" t="s">
        <v>172</v>
      </c>
      <c r="B14" s="10" t="s">
        <v>274</v>
      </c>
      <c r="C14" s="39">
        <v>25000</v>
      </c>
      <c r="D14" s="39">
        <f t="shared" si="0"/>
        <v>0</v>
      </c>
      <c r="E14" s="39">
        <f t="shared" si="1"/>
        <v>0</v>
      </c>
      <c r="F14" s="39"/>
      <c r="G14" s="39"/>
      <c r="H14" s="7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74"/>
      <c r="AA14" s="61">
        <f ca="1">SUM('AC-SVC'!C14)</f>
        <v>0</v>
      </c>
      <c r="AB14" s="61">
        <f ca="1">SUM('AC-SVC'!D14)</f>
        <v>0</v>
      </c>
      <c r="AC14" s="61">
        <f ca="1">SUM('AC-SVC'!E14)</f>
        <v>0</v>
      </c>
      <c r="AD14" s="61">
        <f ca="1">SUM('AC-SVC'!F14)</f>
        <v>0</v>
      </c>
      <c r="AE14" s="61">
        <f ca="1">SUM('AC-SVC'!G14)</f>
        <v>0</v>
      </c>
      <c r="AF14" s="61">
        <f ca="1">SUM('AC-SVC'!H14)</f>
        <v>0</v>
      </c>
      <c r="AG14" s="61">
        <f ca="1">SUM(PT!D14)</f>
        <v>0</v>
      </c>
      <c r="AH14" s="61">
        <f ca="1">SUM(CCLC!D14)</f>
        <v>0</v>
      </c>
      <c r="AI14" s="61">
        <f ca="1">SUM(FC!E14)</f>
        <v>0</v>
      </c>
      <c r="AJ14" s="61">
        <v>0</v>
      </c>
      <c r="AK14" s="61">
        <f ca="1">SUM(FS!E14)</f>
        <v>0</v>
      </c>
      <c r="AL14" s="61">
        <f ca="1">SUM(IT!E14)</f>
        <v>0</v>
      </c>
      <c r="AM14" s="74"/>
      <c r="AN14" s="67">
        <f t="shared" si="2"/>
        <v>25000</v>
      </c>
    </row>
    <row r="15" spans="1:40">
      <c r="A15" s="10" t="s">
        <v>173</v>
      </c>
      <c r="B15" s="10" t="s">
        <v>275</v>
      </c>
      <c r="C15" s="39"/>
      <c r="D15" s="39">
        <f t="shared" si="0"/>
        <v>0</v>
      </c>
      <c r="E15" s="39">
        <f t="shared" si="1"/>
        <v>0</v>
      </c>
      <c r="F15" s="39"/>
      <c r="G15" s="39"/>
      <c r="H15" s="7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74"/>
      <c r="AA15" s="61">
        <f ca="1">SUM('AC-SVC'!C15)</f>
        <v>0</v>
      </c>
      <c r="AB15" s="61">
        <f ca="1">SUM('AC-SVC'!D15)</f>
        <v>0</v>
      </c>
      <c r="AC15" s="61">
        <f ca="1">SUM('AC-SVC'!E15)</f>
        <v>0</v>
      </c>
      <c r="AD15" s="61">
        <f ca="1">SUM('AC-SVC'!F15)</f>
        <v>0</v>
      </c>
      <c r="AE15" s="61">
        <f ca="1">SUM('AC-SVC'!G15)</f>
        <v>0</v>
      </c>
      <c r="AF15" s="61">
        <f ca="1">SUM('AC-SVC'!H15)</f>
        <v>0</v>
      </c>
      <c r="AG15" s="61">
        <f ca="1">SUM(PT!D15)</f>
        <v>0</v>
      </c>
      <c r="AH15" s="61">
        <f ca="1">SUM(CCLC!D15)</f>
        <v>0</v>
      </c>
      <c r="AI15" s="61">
        <f ca="1">SUM(FC!E15)</f>
        <v>0</v>
      </c>
      <c r="AJ15" s="61">
        <v>0</v>
      </c>
      <c r="AK15" s="61">
        <f ca="1">SUM(FS!E15)</f>
        <v>0</v>
      </c>
      <c r="AL15" s="61">
        <f ca="1">SUM(IT!E15)</f>
        <v>0</v>
      </c>
      <c r="AM15" s="74"/>
      <c r="AN15" s="67">
        <f t="shared" si="2"/>
        <v>0</v>
      </c>
    </row>
    <row r="16" spans="1:40">
      <c r="A16" s="10" t="s">
        <v>194</v>
      </c>
      <c r="B16" s="10" t="s">
        <v>276</v>
      </c>
      <c r="C16" s="39"/>
      <c r="D16" s="39">
        <f t="shared" si="0"/>
        <v>0</v>
      </c>
      <c r="E16" s="39">
        <f t="shared" si="1"/>
        <v>0</v>
      </c>
      <c r="F16" s="39"/>
      <c r="G16" s="39"/>
      <c r="H16" s="7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74"/>
      <c r="AA16" s="61">
        <f ca="1">SUM('AC-SVC'!C16)</f>
        <v>0</v>
      </c>
      <c r="AB16" s="61">
        <f ca="1">SUM('AC-SVC'!D16)</f>
        <v>0</v>
      </c>
      <c r="AC16" s="61">
        <f ca="1">SUM('AC-SVC'!E16)</f>
        <v>0</v>
      </c>
      <c r="AD16" s="61">
        <f ca="1">SUM('AC-SVC'!F16)</f>
        <v>0</v>
      </c>
      <c r="AE16" s="61">
        <f ca="1">SUM('AC-SVC'!G16)</f>
        <v>0</v>
      </c>
      <c r="AF16" s="61">
        <f ca="1">SUM('AC-SVC'!H16)</f>
        <v>0</v>
      </c>
      <c r="AG16" s="61">
        <f ca="1">SUM(PT!D16)</f>
        <v>0</v>
      </c>
      <c r="AH16" s="61">
        <f ca="1">SUM(CCLC!D16)</f>
        <v>0</v>
      </c>
      <c r="AI16" s="61">
        <f ca="1">SUM(FC!E16)</f>
        <v>0</v>
      </c>
      <c r="AJ16" s="61">
        <v>0</v>
      </c>
      <c r="AK16" s="61">
        <f ca="1">SUM(FS!E16)</f>
        <v>28640</v>
      </c>
      <c r="AL16" s="61">
        <f ca="1">SUM(IT!E16)</f>
        <v>0</v>
      </c>
      <c r="AM16" s="74"/>
      <c r="AN16" s="67">
        <f t="shared" si="2"/>
        <v>28640</v>
      </c>
    </row>
    <row r="17" spans="1:40">
      <c r="A17" s="10" t="s">
        <v>195</v>
      </c>
      <c r="B17" s="10" t="s">
        <v>277</v>
      </c>
      <c r="C17" s="39"/>
      <c r="D17" s="39">
        <f t="shared" si="0"/>
        <v>0</v>
      </c>
      <c r="E17" s="39">
        <f t="shared" si="1"/>
        <v>0</v>
      </c>
      <c r="F17" s="39"/>
      <c r="G17" s="39"/>
      <c r="H17" s="7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74"/>
      <c r="AA17" s="61">
        <f ca="1">SUM('AC-SVC'!C17)</f>
        <v>0</v>
      </c>
      <c r="AB17" s="61">
        <f ca="1">SUM('AC-SVC'!D17)</f>
        <v>0</v>
      </c>
      <c r="AC17" s="61">
        <f ca="1">SUM('AC-SVC'!E17)</f>
        <v>0</v>
      </c>
      <c r="AD17" s="61">
        <f ca="1">SUM('AC-SVC'!F17)</f>
        <v>0</v>
      </c>
      <c r="AE17" s="61">
        <f ca="1">SUM('AC-SVC'!G17)</f>
        <v>0</v>
      </c>
      <c r="AF17" s="61">
        <f ca="1">SUM('AC-SVC'!H17)</f>
        <v>0</v>
      </c>
      <c r="AG17" s="61">
        <f ca="1">SUM(PT!D17)</f>
        <v>33750</v>
      </c>
      <c r="AH17" s="61">
        <f ca="1">SUM(CCLC!D17)</f>
        <v>0</v>
      </c>
      <c r="AI17" s="61">
        <f ca="1">SUM(FC!E17)</f>
        <v>0</v>
      </c>
      <c r="AJ17" s="61">
        <v>0</v>
      </c>
      <c r="AK17" s="61">
        <f ca="1">SUM(FS!E17)</f>
        <v>0</v>
      </c>
      <c r="AL17" s="61">
        <f ca="1">SUM(IT!E17)</f>
        <v>0</v>
      </c>
      <c r="AM17" s="74"/>
      <c r="AN17" s="67">
        <f t="shared" si="2"/>
        <v>33750</v>
      </c>
    </row>
    <row r="18" spans="1:40">
      <c r="A18" s="10" t="s">
        <v>196</v>
      </c>
      <c r="B18" s="10" t="s">
        <v>278</v>
      </c>
      <c r="C18" s="39"/>
      <c r="D18" s="39">
        <f t="shared" si="0"/>
        <v>0</v>
      </c>
      <c r="E18" s="39">
        <f t="shared" si="1"/>
        <v>0</v>
      </c>
      <c r="F18" s="39"/>
      <c r="G18" s="39"/>
      <c r="H18" s="7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74"/>
      <c r="AA18" s="61">
        <f ca="1">SUM('AC-SVC'!C18)</f>
        <v>0</v>
      </c>
      <c r="AB18" s="61">
        <f ca="1">SUM('AC-SVC'!D18)</f>
        <v>0</v>
      </c>
      <c r="AC18" s="61">
        <f ca="1">SUM('AC-SVC'!E18)</f>
        <v>0</v>
      </c>
      <c r="AD18" s="61">
        <f ca="1">SUM('AC-SVC'!F18)</f>
        <v>0</v>
      </c>
      <c r="AE18" s="61">
        <f ca="1">SUM('AC-SVC'!G18)</f>
        <v>0</v>
      </c>
      <c r="AF18" s="61">
        <f ca="1">SUM('AC-SVC'!H18)</f>
        <v>0</v>
      </c>
      <c r="AG18" s="61">
        <f ca="1">SUM(PT!D18)</f>
        <v>0</v>
      </c>
      <c r="AH18" s="61">
        <f ca="1">SUM(CCLC!D18)</f>
        <v>26363.636363636364</v>
      </c>
      <c r="AI18" s="61">
        <f ca="1">SUM(FC!E18)</f>
        <v>0</v>
      </c>
      <c r="AJ18" s="61">
        <v>0</v>
      </c>
      <c r="AK18" s="61">
        <f ca="1">SUM(FS!E18)</f>
        <v>0</v>
      </c>
      <c r="AL18" s="61">
        <f ca="1">SUM(IT!E18)</f>
        <v>0</v>
      </c>
      <c r="AM18" s="74"/>
      <c r="AN18" s="67">
        <f t="shared" si="2"/>
        <v>26363.636363636364</v>
      </c>
    </row>
    <row r="19" spans="1:40">
      <c r="A19" s="10" t="s">
        <v>197</v>
      </c>
      <c r="B19" s="10" t="s">
        <v>279</v>
      </c>
      <c r="C19" s="39"/>
      <c r="D19" s="39">
        <f t="shared" si="0"/>
        <v>0</v>
      </c>
      <c r="E19" s="39">
        <f t="shared" si="1"/>
        <v>0</v>
      </c>
      <c r="F19" s="39"/>
      <c r="G19" s="39"/>
      <c r="H19" s="7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74"/>
      <c r="AA19" s="61">
        <f ca="1">SUM('AC-SVC'!C19)</f>
        <v>0</v>
      </c>
      <c r="AB19" s="61">
        <f ca="1">SUM('AC-SVC'!D19)</f>
        <v>0</v>
      </c>
      <c r="AC19" s="61">
        <f ca="1">SUM('AC-SVC'!E19)</f>
        <v>0</v>
      </c>
      <c r="AD19" s="61">
        <f ca="1">SUM('AC-SVC'!F19)</f>
        <v>0</v>
      </c>
      <c r="AE19" s="61">
        <f ca="1">SUM('AC-SVC'!G19)</f>
        <v>0</v>
      </c>
      <c r="AF19" s="61">
        <f ca="1">SUM('AC-SVC'!H19)</f>
        <v>0</v>
      </c>
      <c r="AG19" s="61">
        <f ca="1">SUM(PT!D19)</f>
        <v>0</v>
      </c>
      <c r="AH19" s="61">
        <f ca="1">SUM(CCLC!D19)</f>
        <v>0</v>
      </c>
      <c r="AI19" s="61">
        <f ca="1">SUM(FC!E19)</f>
        <v>0</v>
      </c>
      <c r="AJ19" s="61">
        <v>0</v>
      </c>
      <c r="AK19" s="61">
        <f ca="1">SUM(FS!E19)</f>
        <v>0</v>
      </c>
      <c r="AL19" s="61">
        <f ca="1">SUM(IT!E19)</f>
        <v>0</v>
      </c>
      <c r="AM19" s="74"/>
      <c r="AN19" s="67">
        <f t="shared" si="2"/>
        <v>0</v>
      </c>
    </row>
    <row r="20" spans="1:40">
      <c r="A20" s="10" t="s">
        <v>198</v>
      </c>
      <c r="B20" s="10" t="s">
        <v>280</v>
      </c>
      <c r="C20" s="39"/>
      <c r="D20" s="39">
        <f t="shared" si="0"/>
        <v>0</v>
      </c>
      <c r="E20" s="39">
        <f t="shared" si="1"/>
        <v>0</v>
      </c>
      <c r="F20" s="39"/>
      <c r="G20" s="39"/>
      <c r="H20" s="7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74"/>
      <c r="AA20" s="61">
        <f ca="1">SUM('AC-SVC'!C20)</f>
        <v>0</v>
      </c>
      <c r="AB20" s="61">
        <f ca="1">SUM('AC-SVC'!D20)</f>
        <v>0</v>
      </c>
      <c r="AC20" s="61">
        <f ca="1">SUM('AC-SVC'!E20)</f>
        <v>0</v>
      </c>
      <c r="AD20" s="61">
        <f ca="1">SUM('AC-SVC'!F20)</f>
        <v>0</v>
      </c>
      <c r="AE20" s="61">
        <f ca="1">SUM('AC-SVC'!G20)</f>
        <v>0</v>
      </c>
      <c r="AF20" s="61">
        <f ca="1">SUM('AC-SVC'!H20)</f>
        <v>0</v>
      </c>
      <c r="AG20" s="61">
        <f ca="1">SUM(PT!D20)</f>
        <v>0</v>
      </c>
      <c r="AH20" s="61">
        <f ca="1">SUM(CCLC!D20)</f>
        <v>0</v>
      </c>
      <c r="AI20" s="61">
        <f ca="1">SUM(FC!E20)</f>
        <v>0</v>
      </c>
      <c r="AJ20" s="61">
        <v>0</v>
      </c>
      <c r="AK20" s="61">
        <f ca="1">SUM(FS!E20)</f>
        <v>0</v>
      </c>
      <c r="AL20" s="61">
        <f ca="1">SUM(IT!E20)</f>
        <v>0</v>
      </c>
      <c r="AM20" s="74"/>
      <c r="AN20" s="67">
        <f t="shared" si="2"/>
        <v>0</v>
      </c>
    </row>
    <row r="21" spans="1:40">
      <c r="A21" s="10" t="s">
        <v>199</v>
      </c>
      <c r="B21" s="10" t="s">
        <v>281</v>
      </c>
      <c r="C21" s="72">
        <f ca="1">SUM(SUM!B6*190)</f>
        <v>34010</v>
      </c>
      <c r="D21" s="39">
        <f t="shared" si="0"/>
        <v>0</v>
      </c>
      <c r="E21" s="39">
        <f t="shared" si="1"/>
        <v>0</v>
      </c>
      <c r="F21" s="39"/>
      <c r="G21" s="39"/>
      <c r="H21" s="7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74"/>
      <c r="AA21" s="61">
        <f ca="1">SUM('AC-SVC'!C21)</f>
        <v>0</v>
      </c>
      <c r="AB21" s="61">
        <f ca="1">SUM('AC-SVC'!D21)</f>
        <v>0</v>
      </c>
      <c r="AC21" s="61">
        <f ca="1">SUM('AC-SVC'!E21)</f>
        <v>0</v>
      </c>
      <c r="AD21" s="61">
        <f ca="1">SUM('AC-SVC'!F21)</f>
        <v>0</v>
      </c>
      <c r="AE21" s="61">
        <f ca="1">SUM('AC-SVC'!G21)</f>
        <v>0</v>
      </c>
      <c r="AF21" s="61">
        <f ca="1">SUM('AC-SVC'!H21)</f>
        <v>0</v>
      </c>
      <c r="AG21" s="61">
        <f ca="1">SUM(PT!D21)</f>
        <v>0</v>
      </c>
      <c r="AH21" s="61">
        <f ca="1">SUM(CCLC!D21)</f>
        <v>0</v>
      </c>
      <c r="AI21" s="61">
        <f ca="1">SUM(FC!E21)</f>
        <v>0</v>
      </c>
      <c r="AJ21" s="61">
        <v>0</v>
      </c>
      <c r="AK21" s="61">
        <f ca="1">SUM(FS!E21)</f>
        <v>0</v>
      </c>
      <c r="AL21" s="61">
        <f ca="1">SUM(IT!E21)</f>
        <v>0</v>
      </c>
      <c r="AM21" s="74"/>
      <c r="AN21" s="67">
        <f t="shared" si="2"/>
        <v>34010</v>
      </c>
    </row>
    <row r="22" spans="1:40">
      <c r="A22" s="10" t="s">
        <v>200</v>
      </c>
      <c r="B22" s="10" t="s">
        <v>282</v>
      </c>
      <c r="C22" s="39"/>
      <c r="D22" s="39">
        <f t="shared" si="0"/>
        <v>0</v>
      </c>
      <c r="E22" s="39">
        <f t="shared" si="1"/>
        <v>0</v>
      </c>
      <c r="F22" s="39"/>
      <c r="G22" s="39"/>
      <c r="H22" s="7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74"/>
      <c r="AA22" s="61">
        <f ca="1">SUM('AC-SVC'!C22)</f>
        <v>0</v>
      </c>
      <c r="AB22" s="61">
        <f ca="1">SUM('AC-SVC'!D22)</f>
        <v>0</v>
      </c>
      <c r="AC22" s="61">
        <f ca="1">SUM('AC-SVC'!E22)</f>
        <v>0</v>
      </c>
      <c r="AD22" s="61">
        <f ca="1">SUM('AC-SVC'!F22)</f>
        <v>0</v>
      </c>
      <c r="AE22" s="61">
        <f ca="1">SUM('AC-SVC'!G22)</f>
        <v>0</v>
      </c>
      <c r="AF22" s="61">
        <f ca="1">SUM('AC-SVC'!H22)</f>
        <v>0</v>
      </c>
      <c r="AG22" s="61">
        <f ca="1">SUM(PT!D22)</f>
        <v>0</v>
      </c>
      <c r="AH22" s="61">
        <f ca="1">SUM(CCLC!D22)</f>
        <v>0</v>
      </c>
      <c r="AI22" s="61">
        <f ca="1">SUM(FC!E22)</f>
        <v>0</v>
      </c>
      <c r="AJ22" s="61">
        <v>0</v>
      </c>
      <c r="AK22" s="61">
        <f ca="1">SUM(FS!E22)</f>
        <v>0</v>
      </c>
      <c r="AL22" s="61">
        <f ca="1">SUM(IT!E22)</f>
        <v>0</v>
      </c>
      <c r="AM22" s="74"/>
      <c r="AN22" s="67">
        <f t="shared" si="2"/>
        <v>0</v>
      </c>
    </row>
    <row r="23" spans="1:40">
      <c r="A23" s="10" t="s">
        <v>201</v>
      </c>
      <c r="B23" s="10" t="s">
        <v>283</v>
      </c>
      <c r="C23" s="39"/>
      <c r="D23" s="39">
        <f t="shared" si="0"/>
        <v>0</v>
      </c>
      <c r="E23" s="39">
        <f t="shared" si="1"/>
        <v>0</v>
      </c>
      <c r="F23" s="39"/>
      <c r="G23" s="39"/>
      <c r="H23" s="7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74"/>
      <c r="AA23" s="61">
        <f ca="1">SUM('AC-SVC'!C23)</f>
        <v>0</v>
      </c>
      <c r="AB23" s="61">
        <f ca="1">SUM('AC-SVC'!D23)</f>
        <v>0</v>
      </c>
      <c r="AC23" s="61">
        <f ca="1">SUM('AC-SVC'!E23)</f>
        <v>0</v>
      </c>
      <c r="AD23" s="61">
        <f ca="1">SUM('AC-SVC'!F23)</f>
        <v>0</v>
      </c>
      <c r="AE23" s="61">
        <f ca="1">SUM('AC-SVC'!G23)</f>
        <v>500</v>
      </c>
      <c r="AF23" s="61">
        <f ca="1">SUM('AC-SVC'!H23)</f>
        <v>0</v>
      </c>
      <c r="AG23" s="61">
        <f ca="1">SUM(PT!D23)</f>
        <v>0</v>
      </c>
      <c r="AH23" s="61">
        <f ca="1">SUM(CCLC!D23)</f>
        <v>0</v>
      </c>
      <c r="AI23" s="61">
        <f ca="1">SUM(FC!E23)</f>
        <v>0</v>
      </c>
      <c r="AJ23" s="61">
        <v>0</v>
      </c>
      <c r="AK23" s="61">
        <f ca="1">SUM(FS!E23)</f>
        <v>0</v>
      </c>
      <c r="AL23" s="61">
        <f ca="1">SUM(IT!E23)</f>
        <v>0</v>
      </c>
      <c r="AM23" s="74"/>
      <c r="AN23" s="67">
        <f t="shared" si="2"/>
        <v>500</v>
      </c>
    </row>
    <row r="24" spans="1:40">
      <c r="A24" s="10" t="s">
        <v>202</v>
      </c>
      <c r="B24" s="10" t="s">
        <v>284</v>
      </c>
      <c r="C24" s="39"/>
      <c r="D24" s="39">
        <f t="shared" si="0"/>
        <v>0</v>
      </c>
      <c r="E24" s="39">
        <f t="shared" si="1"/>
        <v>0</v>
      </c>
      <c r="F24" s="39"/>
      <c r="G24" s="39"/>
      <c r="H24" s="7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74"/>
      <c r="AA24" s="61">
        <f ca="1">SUM('AC-SVC'!C24)</f>
        <v>0</v>
      </c>
      <c r="AB24" s="61">
        <f ca="1">SUM('AC-SVC'!D24)</f>
        <v>0</v>
      </c>
      <c r="AC24" s="61">
        <f ca="1">SUM('AC-SVC'!E24)</f>
        <v>0</v>
      </c>
      <c r="AD24" s="61">
        <f ca="1">SUM('AC-SVC'!F24)</f>
        <v>0</v>
      </c>
      <c r="AE24" s="61">
        <f ca="1">SUM('AC-SVC'!G24)</f>
        <v>0</v>
      </c>
      <c r="AF24" s="61">
        <f ca="1">SUM('AC-SVC'!H24)</f>
        <v>0</v>
      </c>
      <c r="AG24" s="61">
        <f ca="1">SUM(PT!D24)</f>
        <v>0</v>
      </c>
      <c r="AH24" s="61">
        <f ca="1">SUM(CCLC!D24)</f>
        <v>0</v>
      </c>
      <c r="AI24" s="61">
        <f ca="1">SUM(FC!E24)</f>
        <v>0</v>
      </c>
      <c r="AJ24" s="61">
        <v>0</v>
      </c>
      <c r="AK24" s="61">
        <f ca="1">SUM(FS!E24)</f>
        <v>0</v>
      </c>
      <c r="AL24" s="61">
        <f ca="1">SUM(IT!E24)</f>
        <v>0</v>
      </c>
      <c r="AM24" s="74"/>
      <c r="AN24" s="67">
        <f t="shared" si="2"/>
        <v>0</v>
      </c>
    </row>
    <row r="25" spans="1:40">
      <c r="A25" s="10" t="s">
        <v>203</v>
      </c>
      <c r="B25" s="10" t="s">
        <v>285</v>
      </c>
      <c r="C25" s="39"/>
      <c r="D25" s="39">
        <f t="shared" si="0"/>
        <v>0</v>
      </c>
      <c r="E25" s="39">
        <f t="shared" si="1"/>
        <v>0</v>
      </c>
      <c r="F25" s="39"/>
      <c r="G25" s="39"/>
      <c r="H25" s="7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74"/>
      <c r="AA25" s="61">
        <f ca="1">SUM('AC-SVC'!C25)</f>
        <v>0</v>
      </c>
      <c r="AB25" s="61">
        <f ca="1">SUM('AC-SVC'!D25)</f>
        <v>0</v>
      </c>
      <c r="AC25" s="61">
        <f ca="1">SUM('AC-SVC'!E25)</f>
        <v>0</v>
      </c>
      <c r="AD25" s="61">
        <f ca="1">SUM('AC-SVC'!F25)</f>
        <v>0</v>
      </c>
      <c r="AE25" s="61">
        <f ca="1">SUM('AC-SVC'!G25)</f>
        <v>0</v>
      </c>
      <c r="AF25" s="61">
        <f ca="1">SUM('AC-SVC'!H25)</f>
        <v>0</v>
      </c>
      <c r="AG25" s="61">
        <f ca="1">SUM(PT!D25)</f>
        <v>0</v>
      </c>
      <c r="AH25" s="61">
        <f ca="1">SUM(CCLC!D25)</f>
        <v>0</v>
      </c>
      <c r="AI25" s="61">
        <f ca="1">SUM(FC!E25)</f>
        <v>0</v>
      </c>
      <c r="AJ25" s="61">
        <v>0</v>
      </c>
      <c r="AK25" s="61">
        <f ca="1">SUM(FS!E25)</f>
        <v>0</v>
      </c>
      <c r="AL25" s="61">
        <f ca="1">SUM(IT!E25)</f>
        <v>0</v>
      </c>
      <c r="AM25" s="74"/>
      <c r="AN25" s="67">
        <f t="shared" si="2"/>
        <v>0</v>
      </c>
    </row>
    <row r="26" spans="1:40">
      <c r="A26" s="10" t="s">
        <v>204</v>
      </c>
      <c r="B26" s="10" t="s">
        <v>286</v>
      </c>
      <c r="C26" s="39"/>
      <c r="D26" s="39">
        <f t="shared" si="0"/>
        <v>0</v>
      </c>
      <c r="E26" s="39">
        <f t="shared" si="1"/>
        <v>0</v>
      </c>
      <c r="F26" s="39"/>
      <c r="G26" s="39"/>
      <c r="H26" s="7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74"/>
      <c r="AA26" s="61">
        <f ca="1">SUM('AC-SVC'!C26)</f>
        <v>0</v>
      </c>
      <c r="AB26" s="61">
        <f ca="1">SUM('AC-SVC'!D26)</f>
        <v>0</v>
      </c>
      <c r="AC26" s="61">
        <f ca="1">SUM('AC-SVC'!E26)</f>
        <v>0</v>
      </c>
      <c r="AD26" s="61">
        <f ca="1">SUM('AC-SVC'!F26)</f>
        <v>0</v>
      </c>
      <c r="AE26" s="61">
        <f ca="1">SUM('AC-SVC'!G26)</f>
        <v>0</v>
      </c>
      <c r="AF26" s="61">
        <f ca="1">SUM('AC-SVC'!H26)</f>
        <v>0</v>
      </c>
      <c r="AG26" s="61">
        <f ca="1">SUM(PT!D26)</f>
        <v>0</v>
      </c>
      <c r="AH26" s="61">
        <f ca="1">SUM(CCLC!D26)</f>
        <v>0</v>
      </c>
      <c r="AI26" s="61">
        <f ca="1">SUM(FC!E26)</f>
        <v>0</v>
      </c>
      <c r="AJ26" s="61">
        <v>0</v>
      </c>
      <c r="AK26" s="61">
        <f ca="1">SUM(FS!E26)</f>
        <v>0</v>
      </c>
      <c r="AL26" s="61">
        <f ca="1">SUM(IT!E26)</f>
        <v>0</v>
      </c>
      <c r="AM26" s="74"/>
      <c r="AN26" s="67">
        <f t="shared" si="2"/>
        <v>0</v>
      </c>
    </row>
    <row r="27" spans="1:40">
      <c r="A27" s="10" t="s">
        <v>205</v>
      </c>
      <c r="B27" s="10" t="s">
        <v>287</v>
      </c>
      <c r="C27" s="39"/>
      <c r="D27" s="39">
        <f t="shared" si="0"/>
        <v>0</v>
      </c>
      <c r="E27" s="39">
        <f t="shared" si="1"/>
        <v>0</v>
      </c>
      <c r="F27" s="39"/>
      <c r="G27" s="39"/>
      <c r="H27" s="7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74"/>
      <c r="AA27" s="61">
        <f ca="1">SUM('AC-SVC'!C27)</f>
        <v>0</v>
      </c>
      <c r="AB27" s="61">
        <f ca="1">SUM('AC-SVC'!D27)</f>
        <v>0</v>
      </c>
      <c r="AC27" s="61">
        <f ca="1">SUM('AC-SVC'!E27)</f>
        <v>0</v>
      </c>
      <c r="AD27" s="61">
        <f ca="1">SUM('AC-SVC'!F27)</f>
        <v>0</v>
      </c>
      <c r="AE27" s="61">
        <f ca="1">SUM('AC-SVC'!G27)</f>
        <v>0</v>
      </c>
      <c r="AF27" s="61">
        <f ca="1">SUM('AC-SVC'!H27)</f>
        <v>0</v>
      </c>
      <c r="AG27" s="61">
        <f ca="1">SUM(PT!D27)</f>
        <v>0</v>
      </c>
      <c r="AH27" s="61">
        <f ca="1">SUM(CCLC!D27)</f>
        <v>0</v>
      </c>
      <c r="AI27" s="61">
        <f ca="1">SUM(FC!E27)</f>
        <v>0</v>
      </c>
      <c r="AJ27" s="61">
        <v>0</v>
      </c>
      <c r="AK27" s="61">
        <f ca="1">SUM(FS!E27)</f>
        <v>0</v>
      </c>
      <c r="AL27" s="61">
        <f ca="1">SUM(IT!E27)</f>
        <v>0</v>
      </c>
      <c r="AM27" s="74"/>
      <c r="AN27" s="67">
        <f t="shared" si="2"/>
        <v>0</v>
      </c>
    </row>
    <row r="28" spans="1:40">
      <c r="A28" s="10" t="s">
        <v>206</v>
      </c>
      <c r="B28" s="10" t="s">
        <v>288</v>
      </c>
      <c r="C28" s="39"/>
      <c r="D28" s="39">
        <f t="shared" si="0"/>
        <v>0</v>
      </c>
      <c r="E28" s="39">
        <f t="shared" si="1"/>
        <v>0</v>
      </c>
      <c r="F28" s="39"/>
      <c r="G28" s="39"/>
      <c r="H28" s="7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74"/>
      <c r="AA28" s="61">
        <f ca="1">SUM('AC-SVC'!C28)</f>
        <v>0</v>
      </c>
      <c r="AB28" s="61">
        <f ca="1">SUM('AC-SVC'!D28)</f>
        <v>0</v>
      </c>
      <c r="AC28" s="61">
        <f ca="1">SUM('AC-SVC'!E28)</f>
        <v>0</v>
      </c>
      <c r="AD28" s="61">
        <f ca="1">SUM('AC-SVC'!F28)</f>
        <v>0</v>
      </c>
      <c r="AE28" s="61">
        <f ca="1">SUM('AC-SVC'!G28)</f>
        <v>0</v>
      </c>
      <c r="AF28" s="61">
        <f ca="1">SUM('AC-SVC'!H28)</f>
        <v>0</v>
      </c>
      <c r="AG28" s="61">
        <f ca="1">SUM(PT!D28)</f>
        <v>0</v>
      </c>
      <c r="AH28" s="61">
        <f ca="1">SUM(CCLC!D28)</f>
        <v>0</v>
      </c>
      <c r="AI28" s="61">
        <f ca="1">SUM(FC!E28)</f>
        <v>0</v>
      </c>
      <c r="AJ28" s="61">
        <v>0</v>
      </c>
      <c r="AK28" s="61">
        <f ca="1">SUM(FS!E28)</f>
        <v>0</v>
      </c>
      <c r="AL28" s="61">
        <f ca="1">SUM(IT!E28)</f>
        <v>0</v>
      </c>
      <c r="AM28" s="74"/>
      <c r="AN28" s="67">
        <f t="shared" si="2"/>
        <v>0</v>
      </c>
    </row>
    <row r="29" spans="1:40">
      <c r="A29" s="10" t="s">
        <v>207</v>
      </c>
      <c r="B29" s="10" t="s">
        <v>289</v>
      </c>
      <c r="C29" s="39"/>
      <c r="D29" s="39">
        <f t="shared" si="0"/>
        <v>0</v>
      </c>
      <c r="E29" s="39">
        <f t="shared" si="1"/>
        <v>0</v>
      </c>
      <c r="F29" s="39"/>
      <c r="G29" s="39"/>
      <c r="H29" s="7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74"/>
      <c r="AA29" s="61">
        <f ca="1">SUM('AC-SVC'!C29)</f>
        <v>0</v>
      </c>
      <c r="AB29" s="61">
        <f ca="1">SUM('AC-SVC'!D29)</f>
        <v>0</v>
      </c>
      <c r="AC29" s="61">
        <f ca="1">SUM('AC-SVC'!E29)</f>
        <v>0</v>
      </c>
      <c r="AD29" s="61">
        <f ca="1">SUM('AC-SVC'!F29)</f>
        <v>0</v>
      </c>
      <c r="AE29" s="61">
        <f ca="1">SUM('AC-SVC'!G29)</f>
        <v>300</v>
      </c>
      <c r="AF29" s="61">
        <f ca="1">SUM('AC-SVC'!H29)</f>
        <v>0</v>
      </c>
      <c r="AG29" s="61">
        <f ca="1">SUM(PT!D29)</f>
        <v>0</v>
      </c>
      <c r="AH29" s="61">
        <f ca="1">SUM(CCLC!D29)</f>
        <v>0</v>
      </c>
      <c r="AI29" s="61">
        <f ca="1">SUM(FC!E29)</f>
        <v>0</v>
      </c>
      <c r="AJ29" s="61">
        <v>0</v>
      </c>
      <c r="AK29" s="61">
        <f ca="1">SUM(FS!E29)</f>
        <v>0</v>
      </c>
      <c r="AL29" s="61">
        <f ca="1">SUM(IT!E29)</f>
        <v>0</v>
      </c>
      <c r="AM29" s="74"/>
      <c r="AN29" s="67">
        <f t="shared" si="2"/>
        <v>300</v>
      </c>
    </row>
    <row r="30" spans="1:40">
      <c r="A30" s="10" t="s">
        <v>209</v>
      </c>
      <c r="B30" s="10" t="s">
        <v>290</v>
      </c>
      <c r="C30" s="39"/>
      <c r="D30" s="39">
        <f t="shared" si="0"/>
        <v>0</v>
      </c>
      <c r="E30" s="39">
        <f t="shared" si="1"/>
        <v>0</v>
      </c>
      <c r="F30" s="39"/>
      <c r="G30" s="39"/>
      <c r="H30" s="7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74"/>
      <c r="AA30" s="61">
        <f ca="1">SUM('AC-SVC'!C30)</f>
        <v>0</v>
      </c>
      <c r="AB30" s="61">
        <f ca="1">SUM('AC-SVC'!D30)</f>
        <v>0</v>
      </c>
      <c r="AC30" s="61">
        <f ca="1">SUM('AC-SVC'!E30)</f>
        <v>0</v>
      </c>
      <c r="AD30" s="61">
        <f ca="1">SUM('AC-SVC'!F30)</f>
        <v>0</v>
      </c>
      <c r="AE30" s="61">
        <f ca="1">SUM('AC-SVC'!G30)</f>
        <v>0</v>
      </c>
      <c r="AF30" s="61">
        <f ca="1">SUM('AC-SVC'!H30)</f>
        <v>0</v>
      </c>
      <c r="AG30" s="61">
        <f ca="1">SUM(PT!D30)</f>
        <v>0</v>
      </c>
      <c r="AH30" s="61">
        <f ca="1">SUM(CCLC!D30)</f>
        <v>0</v>
      </c>
      <c r="AI30" s="61">
        <f ca="1">SUM(FC!E30)</f>
        <v>0</v>
      </c>
      <c r="AJ30" s="61">
        <v>0</v>
      </c>
      <c r="AK30" s="61">
        <f ca="1">SUM(FS!E30)</f>
        <v>0</v>
      </c>
      <c r="AL30" s="61">
        <f ca="1">SUM(IT!E30)</f>
        <v>0</v>
      </c>
      <c r="AM30" s="74"/>
      <c r="AN30" s="67">
        <f t="shared" si="2"/>
        <v>0</v>
      </c>
    </row>
    <row r="31" spans="1:40">
      <c r="A31" s="10" t="s">
        <v>208</v>
      </c>
      <c r="B31" s="10" t="s">
        <v>291</v>
      </c>
      <c r="C31" s="39"/>
      <c r="D31" s="39">
        <f t="shared" si="0"/>
        <v>0</v>
      </c>
      <c r="E31" s="39">
        <f t="shared" si="1"/>
        <v>0</v>
      </c>
      <c r="F31" s="39"/>
      <c r="G31" s="39"/>
      <c r="H31" s="7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74"/>
      <c r="AA31" s="61">
        <f ca="1">SUM('AC-SVC'!C31)</f>
        <v>0</v>
      </c>
      <c r="AB31" s="61">
        <f ca="1">SUM('AC-SVC'!D31)</f>
        <v>0</v>
      </c>
      <c r="AC31" s="61">
        <f ca="1">SUM('AC-SVC'!E31)</f>
        <v>0</v>
      </c>
      <c r="AD31" s="61">
        <f ca="1">SUM('AC-SVC'!F31)</f>
        <v>0</v>
      </c>
      <c r="AE31" s="61">
        <f ca="1">SUM('AC-SVC'!G31)</f>
        <v>0</v>
      </c>
      <c r="AF31" s="61">
        <f ca="1">SUM('AC-SVC'!H31)</f>
        <v>0</v>
      </c>
      <c r="AG31" s="61">
        <f ca="1">SUM(PT!D31)</f>
        <v>0</v>
      </c>
      <c r="AH31" s="61">
        <f ca="1">SUM(CCLC!D31)</f>
        <v>0</v>
      </c>
      <c r="AI31" s="61">
        <f ca="1">SUM(FC!E31)</f>
        <v>0</v>
      </c>
      <c r="AJ31" s="61">
        <v>0</v>
      </c>
      <c r="AK31" s="61">
        <f ca="1">SUM(FS!E31)</f>
        <v>0</v>
      </c>
      <c r="AL31" s="61">
        <f ca="1">SUM(IT!E31)</f>
        <v>0</v>
      </c>
      <c r="AM31" s="74"/>
      <c r="AN31" s="67">
        <f t="shared" si="2"/>
        <v>0</v>
      </c>
    </row>
    <row r="32" spans="1:40">
      <c r="A32" s="10" t="s">
        <v>210</v>
      </c>
      <c r="B32" s="10" t="s">
        <v>211</v>
      </c>
      <c r="C32" s="39"/>
      <c r="D32" s="39">
        <f t="shared" si="0"/>
        <v>0</v>
      </c>
      <c r="E32" s="39">
        <f t="shared" si="1"/>
        <v>0</v>
      </c>
      <c r="F32" s="39"/>
      <c r="G32" s="39"/>
      <c r="H32" s="7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74"/>
      <c r="AA32" s="61">
        <f ca="1">SUM('AC-SVC'!C32)</f>
        <v>0</v>
      </c>
      <c r="AB32" s="61">
        <f ca="1">SUM('AC-SVC'!D32)</f>
        <v>0</v>
      </c>
      <c r="AC32" s="61">
        <f ca="1">SUM('AC-SVC'!E32)</f>
        <v>0</v>
      </c>
      <c r="AD32" s="61">
        <f ca="1">SUM('AC-SVC'!F32)</f>
        <v>0</v>
      </c>
      <c r="AE32" s="61">
        <f ca="1">SUM('AC-SVC'!G32)</f>
        <v>0</v>
      </c>
      <c r="AF32" s="61">
        <f ca="1">SUM('AC-SVC'!H32)</f>
        <v>0</v>
      </c>
      <c r="AG32" s="61">
        <f ca="1">SUM(PT!D32)</f>
        <v>0</v>
      </c>
      <c r="AH32" s="61">
        <f ca="1">SUM(CCLC!D32)</f>
        <v>0</v>
      </c>
      <c r="AI32" s="61">
        <f ca="1">SUM(FC!E32)</f>
        <v>0</v>
      </c>
      <c r="AJ32" s="61">
        <v>0</v>
      </c>
      <c r="AK32" s="61">
        <f ca="1">SUM(FS!E32)</f>
        <v>0</v>
      </c>
      <c r="AL32" s="61">
        <f ca="1">SUM(IT!E32)</f>
        <v>0</v>
      </c>
      <c r="AM32" s="74"/>
      <c r="AN32" s="67">
        <f t="shared" si="2"/>
        <v>0</v>
      </c>
    </row>
    <row r="33" spans="1:40">
      <c r="A33" s="10" t="s">
        <v>214</v>
      </c>
      <c r="B33" s="10" t="s">
        <v>215</v>
      </c>
      <c r="C33" s="39">
        <v>12500</v>
      </c>
      <c r="D33" s="39">
        <f t="shared" si="0"/>
        <v>0</v>
      </c>
      <c r="E33" s="39">
        <f t="shared" si="1"/>
        <v>0</v>
      </c>
      <c r="F33" s="39"/>
      <c r="G33" s="39"/>
      <c r="H33" s="7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74"/>
      <c r="AA33" s="61">
        <f ca="1">SUM('AC-SVC'!C33)</f>
        <v>0</v>
      </c>
      <c r="AB33" s="61">
        <f ca="1">SUM('AC-SVC'!D33)</f>
        <v>0</v>
      </c>
      <c r="AC33" s="61">
        <f ca="1">SUM('AC-SVC'!E33)</f>
        <v>0</v>
      </c>
      <c r="AD33" s="61">
        <f ca="1">SUM('AC-SVC'!F33)</f>
        <v>0</v>
      </c>
      <c r="AE33" s="61">
        <f ca="1">SUM('AC-SVC'!G33)</f>
        <v>0</v>
      </c>
      <c r="AF33" s="61">
        <f ca="1">SUM('AC-SVC'!H33)</f>
        <v>0</v>
      </c>
      <c r="AG33" s="61">
        <f ca="1">SUM(PT!D33)</f>
        <v>0</v>
      </c>
      <c r="AH33" s="61">
        <f ca="1">SUM(CCLC!D33)</f>
        <v>0</v>
      </c>
      <c r="AI33" s="61">
        <f ca="1">SUM(FC!E33)</f>
        <v>0</v>
      </c>
      <c r="AJ33" s="61">
        <v>0</v>
      </c>
      <c r="AK33" s="61">
        <f ca="1">SUM(FS!E33)</f>
        <v>0</v>
      </c>
      <c r="AL33" s="61">
        <f ca="1">SUM(IT!E33)</f>
        <v>0</v>
      </c>
      <c r="AM33" s="74"/>
      <c r="AN33" s="67">
        <f t="shared" si="2"/>
        <v>12500</v>
      </c>
    </row>
    <row r="34" spans="1:40">
      <c r="A34" s="10" t="s">
        <v>213</v>
      </c>
      <c r="B34" s="10" t="s">
        <v>292</v>
      </c>
      <c r="C34" s="39"/>
      <c r="D34" s="39">
        <f t="shared" si="0"/>
        <v>0</v>
      </c>
      <c r="E34" s="39">
        <f t="shared" si="1"/>
        <v>0</v>
      </c>
      <c r="F34" s="39"/>
      <c r="G34" s="39"/>
      <c r="H34" s="7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74"/>
      <c r="AA34" s="61">
        <f ca="1">SUM('AC-SVC'!C34)</f>
        <v>0</v>
      </c>
      <c r="AB34" s="61">
        <f ca="1">SUM('AC-SVC'!D34)</f>
        <v>0</v>
      </c>
      <c r="AC34" s="61">
        <f ca="1">SUM('AC-SVC'!E34)</f>
        <v>0</v>
      </c>
      <c r="AD34" s="61">
        <f ca="1">SUM('AC-SVC'!F34)</f>
        <v>0</v>
      </c>
      <c r="AE34" s="61">
        <f ca="1">SUM('AC-SVC'!G34)</f>
        <v>0</v>
      </c>
      <c r="AF34" s="61">
        <f ca="1">SUM('AC-SVC'!H34)</f>
        <v>0</v>
      </c>
      <c r="AG34" s="61">
        <f ca="1">SUM(PT!D34)</f>
        <v>0</v>
      </c>
      <c r="AH34" s="61">
        <f ca="1">SUM(CCLC!D34)</f>
        <v>0</v>
      </c>
      <c r="AI34" s="61">
        <f ca="1">SUM(FC!E34)</f>
        <v>0</v>
      </c>
      <c r="AJ34" s="61">
        <v>0</v>
      </c>
      <c r="AK34" s="61">
        <f ca="1">SUM(FS!E34)</f>
        <v>0</v>
      </c>
      <c r="AL34" s="61">
        <f ca="1">SUM(IT!E34)</f>
        <v>0</v>
      </c>
      <c r="AM34" s="74"/>
      <c r="AN34" s="67">
        <f t="shared" si="2"/>
        <v>0</v>
      </c>
    </row>
    <row r="35" spans="1:40">
      <c r="A35" s="10" t="s">
        <v>212</v>
      </c>
      <c r="B35" s="10" t="s">
        <v>293</v>
      </c>
      <c r="C35" s="39"/>
      <c r="D35" s="39">
        <f t="shared" si="0"/>
        <v>0</v>
      </c>
      <c r="E35" s="39">
        <f t="shared" si="1"/>
        <v>0</v>
      </c>
      <c r="F35" s="39"/>
      <c r="G35" s="39"/>
      <c r="H35" s="7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74"/>
      <c r="AA35" s="61">
        <f ca="1">SUM('AC-SVC'!C35)</f>
        <v>0</v>
      </c>
      <c r="AB35" s="61">
        <f ca="1">SUM('AC-SVC'!D35)</f>
        <v>0</v>
      </c>
      <c r="AC35" s="61">
        <f ca="1">SUM('AC-SVC'!E35)</f>
        <v>0</v>
      </c>
      <c r="AD35" s="61">
        <f ca="1">SUM('AC-SVC'!F35)</f>
        <v>0</v>
      </c>
      <c r="AE35" s="61">
        <f ca="1">SUM('AC-SVC'!G35)</f>
        <v>0</v>
      </c>
      <c r="AF35" s="61">
        <f ca="1">SUM('AC-SVC'!H35)</f>
        <v>0</v>
      </c>
      <c r="AG35" s="61">
        <f ca="1">SUM(PT!D35)</f>
        <v>0</v>
      </c>
      <c r="AH35" s="61">
        <f ca="1">SUM(CCLC!D35)</f>
        <v>0</v>
      </c>
      <c r="AI35" s="61">
        <f ca="1">SUM(FC!E35)</f>
        <v>0</v>
      </c>
      <c r="AJ35" s="61">
        <v>0</v>
      </c>
      <c r="AK35" s="61">
        <f ca="1">SUM(FS!E35)</f>
        <v>0</v>
      </c>
      <c r="AL35" s="61">
        <f ca="1">SUM(IT!E35)</f>
        <v>0</v>
      </c>
      <c r="AM35" s="74"/>
      <c r="AN35" s="67">
        <f t="shared" si="2"/>
        <v>0</v>
      </c>
    </row>
    <row r="36" spans="1:40">
      <c r="A36" s="10" t="s">
        <v>216</v>
      </c>
      <c r="B36" s="10" t="s">
        <v>294</v>
      </c>
      <c r="C36" s="39"/>
      <c r="D36" s="39">
        <f t="shared" si="0"/>
        <v>0</v>
      </c>
      <c r="E36" s="39">
        <f t="shared" si="1"/>
        <v>0</v>
      </c>
      <c r="F36" s="39"/>
      <c r="G36" s="39"/>
      <c r="H36" s="7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74"/>
      <c r="AA36" s="61">
        <f ca="1">SUM('AC-SVC'!C36)</f>
        <v>0</v>
      </c>
      <c r="AB36" s="61">
        <f ca="1">SUM('AC-SVC'!D36)</f>
        <v>0</v>
      </c>
      <c r="AC36" s="61">
        <f ca="1">SUM('AC-SVC'!E36)</f>
        <v>0</v>
      </c>
      <c r="AD36" s="61">
        <f ca="1">SUM('AC-SVC'!F36)</f>
        <v>0</v>
      </c>
      <c r="AE36" s="61">
        <f ca="1">SUM('AC-SVC'!G36)</f>
        <v>0</v>
      </c>
      <c r="AF36" s="61">
        <f ca="1">SUM('AC-SVC'!H36)</f>
        <v>0</v>
      </c>
      <c r="AG36" s="61">
        <f ca="1">SUM(PT!D36)</f>
        <v>0</v>
      </c>
      <c r="AH36" s="61">
        <f ca="1">SUM(CCLC!D36)</f>
        <v>0</v>
      </c>
      <c r="AI36" s="61">
        <f ca="1">SUM(FC!E36)</f>
        <v>0</v>
      </c>
      <c r="AJ36" s="61">
        <v>0</v>
      </c>
      <c r="AK36" s="61">
        <f ca="1">SUM(FS!E36)</f>
        <v>0</v>
      </c>
      <c r="AL36" s="61">
        <f ca="1">SUM(IT!E36)</f>
        <v>0</v>
      </c>
      <c r="AM36" s="74"/>
      <c r="AN36" s="67">
        <f t="shared" si="2"/>
        <v>0</v>
      </c>
    </row>
    <row r="37" spans="1:40">
      <c r="A37" s="10" t="s">
        <v>217</v>
      </c>
      <c r="B37" s="10" t="s">
        <v>295</v>
      </c>
      <c r="C37" s="40"/>
      <c r="D37" s="40">
        <f t="shared" si="0"/>
        <v>0</v>
      </c>
      <c r="E37" s="40">
        <f t="shared" si="1"/>
        <v>0</v>
      </c>
      <c r="F37" s="40"/>
      <c r="G37" s="40"/>
      <c r="H37" s="8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74"/>
      <c r="AA37" s="40">
        <f ca="1">SUM('AC-SVC'!C37)</f>
        <v>0</v>
      </c>
      <c r="AB37" s="40">
        <f ca="1">SUM('AC-SVC'!D37)</f>
        <v>0</v>
      </c>
      <c r="AC37" s="40">
        <f ca="1">SUM('AC-SVC'!E37)</f>
        <v>0</v>
      </c>
      <c r="AD37" s="40">
        <f ca="1">SUM('AC-SVC'!F37)</f>
        <v>0</v>
      </c>
      <c r="AE37" s="40">
        <f ca="1">SUM('AC-SVC'!G37)</f>
        <v>0</v>
      </c>
      <c r="AF37" s="40">
        <f ca="1">SUM('AC-SVC'!H37)</f>
        <v>0</v>
      </c>
      <c r="AG37" s="40">
        <f ca="1">SUM(PT!D37)</f>
        <v>0</v>
      </c>
      <c r="AH37" s="40">
        <f ca="1">SUM(CCLC!D37)</f>
        <v>0</v>
      </c>
      <c r="AI37" s="40">
        <f ca="1">SUM(FC!E37)</f>
        <v>0</v>
      </c>
      <c r="AJ37" s="40">
        <v>0</v>
      </c>
      <c r="AK37" s="40">
        <f ca="1">SUM(FS!E37)</f>
        <v>0</v>
      </c>
      <c r="AL37" s="40">
        <f ca="1">SUM(IT!E37)</f>
        <v>0</v>
      </c>
      <c r="AM37" s="74"/>
      <c r="AN37" s="66">
        <f t="shared" si="2"/>
        <v>0</v>
      </c>
    </row>
    <row r="38" spans="1:40">
      <c r="B38" s="10" t="s">
        <v>296</v>
      </c>
      <c r="C38" s="39">
        <f>SUM(C13:C37)</f>
        <v>96510</v>
      </c>
      <c r="D38" s="39">
        <f>SUM(D13:D37)</f>
        <v>0</v>
      </c>
      <c r="E38" s="39">
        <f>SUM(E13:E37)</f>
        <v>0</v>
      </c>
      <c r="F38" s="39">
        <f>SUM(F13:F37)</f>
        <v>0</v>
      </c>
      <c r="G38" s="39">
        <f>SUM(G13:G37)</f>
        <v>0</v>
      </c>
      <c r="H38" s="78"/>
      <c r="I38" s="39">
        <f t="shared" ref="I38:Y38" si="3">SUM(I13:I37)</f>
        <v>0</v>
      </c>
      <c r="J38" s="39">
        <f t="shared" si="3"/>
        <v>0</v>
      </c>
      <c r="K38" s="39">
        <f>SUM(K13:K37)</f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 t="shared" si="3"/>
        <v>0</v>
      </c>
      <c r="Y38" s="39">
        <f t="shared" si="3"/>
        <v>0</v>
      </c>
      <c r="Z38" s="74"/>
      <c r="AA38" s="39">
        <f t="shared" ref="AA38:AL38" si="4">+SUM(AA13:AA37)</f>
        <v>0</v>
      </c>
      <c r="AB38" s="54">
        <f t="shared" si="4"/>
        <v>0</v>
      </c>
      <c r="AC38" s="39">
        <f t="shared" si="4"/>
        <v>0</v>
      </c>
      <c r="AD38" s="39">
        <f t="shared" si="4"/>
        <v>0</v>
      </c>
      <c r="AE38" s="39">
        <f t="shared" si="4"/>
        <v>800</v>
      </c>
      <c r="AF38" s="39">
        <f t="shared" si="4"/>
        <v>0</v>
      </c>
      <c r="AG38" s="39">
        <f t="shared" si="4"/>
        <v>33750</v>
      </c>
      <c r="AH38" s="39">
        <f t="shared" si="4"/>
        <v>26363.636363636364</v>
      </c>
      <c r="AI38" s="39">
        <f t="shared" si="4"/>
        <v>0</v>
      </c>
      <c r="AJ38" s="39">
        <f t="shared" si="4"/>
        <v>0</v>
      </c>
      <c r="AK38" s="39">
        <f t="shared" si="4"/>
        <v>28640</v>
      </c>
      <c r="AL38" s="39">
        <f t="shared" si="4"/>
        <v>0</v>
      </c>
      <c r="AM38" s="74"/>
      <c r="AN38" s="41">
        <f>SUM(AN13:AN37)</f>
        <v>186063.63636363635</v>
      </c>
    </row>
    <row r="39" spans="1:40">
      <c r="C39" s="39"/>
      <c r="D39" s="39"/>
      <c r="E39" s="39"/>
      <c r="F39" s="39"/>
      <c r="G39" s="39"/>
      <c r="H39" s="7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74"/>
      <c r="AA39" s="39"/>
      <c r="AB39" s="54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74"/>
      <c r="AN39" s="57"/>
    </row>
    <row r="40" spans="1:40">
      <c r="A40" s="10" t="s">
        <v>297</v>
      </c>
      <c r="C40" s="39"/>
      <c r="D40" s="39"/>
      <c r="E40" s="39"/>
      <c r="F40" s="39"/>
      <c r="G40" s="39"/>
      <c r="H40" s="7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74"/>
      <c r="AA40" s="39"/>
      <c r="AB40" s="54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74"/>
      <c r="AN40" s="57"/>
    </row>
    <row r="41" spans="1:40">
      <c r="A41" s="10" t="s">
        <v>218</v>
      </c>
      <c r="B41" s="10" t="s">
        <v>298</v>
      </c>
      <c r="C41" s="39">
        <f>+A2*8849</f>
        <v>1583971</v>
      </c>
      <c r="D41" s="39">
        <f t="shared" ref="D41:D48" si="5">SUM(I41:L41)</f>
        <v>0</v>
      </c>
      <c r="E41" s="39">
        <f t="shared" ref="E41:E48" si="6">+SUM(M41:Y41)</f>
        <v>0</v>
      </c>
      <c r="F41" s="39"/>
      <c r="G41" s="39"/>
      <c r="H41" s="7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74"/>
      <c r="AA41" s="61">
        <f ca="1">SUM('AC-SVC'!C41)</f>
        <v>0</v>
      </c>
      <c r="AB41" s="61">
        <f ca="1">SUM('AC-SVC'!D41)</f>
        <v>0</v>
      </c>
      <c r="AC41" s="61">
        <f ca="1">SUM('AC-SVC'!E41)</f>
        <v>0</v>
      </c>
      <c r="AD41" s="61">
        <f ca="1">SUM('AC-SVC'!F41)</f>
        <v>0</v>
      </c>
      <c r="AE41" s="61">
        <f ca="1">SUM('AC-SVC'!G41)</f>
        <v>0</v>
      </c>
      <c r="AF41" s="61">
        <f ca="1">SUM('AC-SVC'!H41)</f>
        <v>0</v>
      </c>
      <c r="AG41" s="61">
        <f ca="1">SUM(PT!D41)</f>
        <v>0</v>
      </c>
      <c r="AH41" s="61">
        <f ca="1">SUM(CCLC!D41)</f>
        <v>0</v>
      </c>
      <c r="AI41" s="61">
        <f ca="1">SUM(FC!E41)</f>
        <v>0</v>
      </c>
      <c r="AJ41" s="61">
        <v>0</v>
      </c>
      <c r="AK41" s="61">
        <f ca="1">SUM(FS!E41)</f>
        <v>0</v>
      </c>
      <c r="AL41" s="61">
        <f ca="1">SUM(IT!E41)</f>
        <v>0</v>
      </c>
      <c r="AM41" s="74"/>
      <c r="AN41" s="67">
        <f t="shared" ref="AN41:AN48" si="7">SUM(C41:G41)+SUM(AA41:AL41)</f>
        <v>1583971</v>
      </c>
    </row>
    <row r="42" spans="1:40">
      <c r="A42" s="10" t="s">
        <v>219</v>
      </c>
      <c r="B42" s="10" t="s">
        <v>220</v>
      </c>
      <c r="C42" s="39"/>
      <c r="D42" s="39">
        <f t="shared" si="5"/>
        <v>0</v>
      </c>
      <c r="E42" s="39">
        <f t="shared" si="6"/>
        <v>0</v>
      </c>
      <c r="F42" s="39"/>
      <c r="G42" s="39"/>
      <c r="H42" s="7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74"/>
      <c r="AA42" s="61">
        <f ca="1">SUM('AC-SVC'!C42)</f>
        <v>0</v>
      </c>
      <c r="AB42" s="61">
        <f ca="1">SUM('AC-SVC'!D42)</f>
        <v>0</v>
      </c>
      <c r="AC42" s="61">
        <f ca="1">SUM('AC-SVC'!E42)</f>
        <v>0</v>
      </c>
      <c r="AD42" s="61">
        <f ca="1">SUM('AC-SVC'!F42)</f>
        <v>0</v>
      </c>
      <c r="AE42" s="61">
        <f ca="1">SUM('AC-SVC'!G42)</f>
        <v>0</v>
      </c>
      <c r="AF42" s="61">
        <f ca="1">SUM('AC-SVC'!H42)</f>
        <v>0</v>
      </c>
      <c r="AG42" s="61">
        <f ca="1">SUM(PT!D42)</f>
        <v>0</v>
      </c>
      <c r="AH42" s="61">
        <f ca="1">SUM(CCLC!D42)</f>
        <v>0</v>
      </c>
      <c r="AI42" s="61">
        <f ca="1">SUM(FC!E42)</f>
        <v>0</v>
      </c>
      <c r="AJ42" s="61">
        <v>0</v>
      </c>
      <c r="AK42" s="61">
        <f ca="1">SUM(FS!E42)</f>
        <v>0</v>
      </c>
      <c r="AL42" s="61">
        <f ca="1">SUM(IT!E42)</f>
        <v>0</v>
      </c>
      <c r="AM42" s="74"/>
      <c r="AN42" s="67">
        <f t="shared" si="7"/>
        <v>0</v>
      </c>
    </row>
    <row r="43" spans="1:40">
      <c r="A43" s="10" t="s">
        <v>221</v>
      </c>
      <c r="B43" s="10" t="s">
        <v>222</v>
      </c>
      <c r="C43" s="39"/>
      <c r="D43" s="39">
        <f t="shared" si="5"/>
        <v>0</v>
      </c>
      <c r="E43" s="39">
        <f t="shared" si="6"/>
        <v>0</v>
      </c>
      <c r="F43" s="39"/>
      <c r="G43" s="39"/>
      <c r="H43" s="7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74"/>
      <c r="AA43" s="61">
        <f ca="1">SUM('AC-SVC'!C43)</f>
        <v>0</v>
      </c>
      <c r="AB43" s="61">
        <f ca="1">SUM('AC-SVC'!D43)</f>
        <v>0</v>
      </c>
      <c r="AC43" s="61">
        <f ca="1">SUM('AC-SVC'!E43)</f>
        <v>0</v>
      </c>
      <c r="AD43" s="61">
        <f ca="1">SUM('AC-SVC'!F43)</f>
        <v>0</v>
      </c>
      <c r="AE43" s="61">
        <f ca="1">SUM('AC-SVC'!G43)</f>
        <v>0</v>
      </c>
      <c r="AF43" s="61">
        <f ca="1">SUM('AC-SVC'!H43)</f>
        <v>0</v>
      </c>
      <c r="AG43" s="61">
        <f ca="1">SUM(PT!D43)</f>
        <v>0</v>
      </c>
      <c r="AH43" s="61">
        <f ca="1">SUM(CCLC!D43)</f>
        <v>0</v>
      </c>
      <c r="AI43" s="61">
        <f ca="1">SUM(FC!E43)</f>
        <v>0</v>
      </c>
      <c r="AJ43" s="61">
        <v>0</v>
      </c>
      <c r="AK43" s="61">
        <f ca="1">SUM(FS!E43)</f>
        <v>0</v>
      </c>
      <c r="AL43" s="61">
        <f ca="1">SUM(IT!E43)</f>
        <v>0</v>
      </c>
      <c r="AM43" s="74"/>
      <c r="AN43" s="67">
        <f t="shared" si="7"/>
        <v>0</v>
      </c>
    </row>
    <row r="44" spans="1:40">
      <c r="A44" s="10" t="s">
        <v>223</v>
      </c>
      <c r="B44" s="10" t="s">
        <v>299</v>
      </c>
      <c r="C44" s="39"/>
      <c r="D44" s="39">
        <f t="shared" si="5"/>
        <v>0</v>
      </c>
      <c r="E44" s="39">
        <f t="shared" si="6"/>
        <v>0</v>
      </c>
      <c r="F44" s="39"/>
      <c r="G44" s="39"/>
      <c r="H44" s="7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74"/>
      <c r="AA44" s="61">
        <f ca="1">SUM('AC-SVC'!C44)</f>
        <v>0</v>
      </c>
      <c r="AB44" s="61">
        <f ca="1">SUM('AC-SVC'!D44)</f>
        <v>0</v>
      </c>
      <c r="AC44" s="61">
        <f ca="1">SUM('AC-SVC'!E44)</f>
        <v>0</v>
      </c>
      <c r="AD44" s="61">
        <f ca="1">SUM('AC-SVC'!F44)</f>
        <v>0</v>
      </c>
      <c r="AE44" s="61">
        <f ca="1">SUM('AC-SVC'!G44)</f>
        <v>0</v>
      </c>
      <c r="AF44" s="61">
        <f ca="1">SUM('AC-SVC'!H44)</f>
        <v>0</v>
      </c>
      <c r="AG44" s="61">
        <f ca="1">SUM(PT!D44)</f>
        <v>0</v>
      </c>
      <c r="AH44" s="61">
        <f ca="1">SUM(CCLC!D44)</f>
        <v>0</v>
      </c>
      <c r="AI44" s="61">
        <f ca="1">SUM(FC!E44)</f>
        <v>0</v>
      </c>
      <c r="AJ44" s="61">
        <v>0</v>
      </c>
      <c r="AK44" s="61">
        <f ca="1">SUM(FS!E44)</f>
        <v>0</v>
      </c>
      <c r="AL44" s="61">
        <f ca="1">SUM(IT!E44)</f>
        <v>0</v>
      </c>
      <c r="AM44" s="74"/>
      <c r="AN44" s="67">
        <f t="shared" si="7"/>
        <v>0</v>
      </c>
    </row>
    <row r="45" spans="1:40">
      <c r="A45" s="10" t="s">
        <v>224</v>
      </c>
      <c r="B45" s="10" t="s">
        <v>225</v>
      </c>
      <c r="C45" s="39"/>
      <c r="D45" s="39">
        <f t="shared" si="5"/>
        <v>0</v>
      </c>
      <c r="E45" s="39">
        <f t="shared" si="6"/>
        <v>0</v>
      </c>
      <c r="F45" s="39"/>
      <c r="G45" s="39"/>
      <c r="H45" s="7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74"/>
      <c r="AA45" s="61">
        <f ca="1">SUM('AC-SVC'!C45)</f>
        <v>0</v>
      </c>
      <c r="AB45" s="61">
        <f ca="1">SUM('AC-SVC'!D45)</f>
        <v>0</v>
      </c>
      <c r="AC45" s="61">
        <f ca="1">SUM('AC-SVC'!E45)</f>
        <v>0</v>
      </c>
      <c r="AD45" s="61">
        <f ca="1">SUM('AC-SVC'!F45)</f>
        <v>0</v>
      </c>
      <c r="AE45" s="61">
        <f ca="1">SUM('AC-SVC'!G45)</f>
        <v>0</v>
      </c>
      <c r="AF45" s="61">
        <f ca="1">SUM('AC-SVC'!H45)</f>
        <v>0</v>
      </c>
      <c r="AG45" s="61">
        <f ca="1">SUM(PT!D45)</f>
        <v>0</v>
      </c>
      <c r="AH45" s="61">
        <f ca="1">SUM(CCLC!D45)</f>
        <v>0</v>
      </c>
      <c r="AI45" s="61">
        <f ca="1">SUM(FC!E45)</f>
        <v>0</v>
      </c>
      <c r="AJ45" s="61">
        <v>0</v>
      </c>
      <c r="AK45" s="61">
        <f ca="1">SUM(FS!E45)</f>
        <v>0</v>
      </c>
      <c r="AL45" s="61">
        <f ca="1">SUM(IT!E45)</f>
        <v>0</v>
      </c>
      <c r="AM45" s="74"/>
      <c r="AN45" s="67">
        <f t="shared" si="7"/>
        <v>0</v>
      </c>
    </row>
    <row r="46" spans="1:40">
      <c r="A46" s="10" t="s">
        <v>226</v>
      </c>
      <c r="B46" s="10" t="s">
        <v>227</v>
      </c>
      <c r="C46" s="39"/>
      <c r="D46" s="39">
        <f t="shared" si="5"/>
        <v>0</v>
      </c>
      <c r="E46" s="39">
        <f t="shared" si="6"/>
        <v>0</v>
      </c>
      <c r="F46" s="39"/>
      <c r="G46" s="39"/>
      <c r="H46" s="7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74"/>
      <c r="AA46" s="61">
        <f ca="1">SUM('AC-SVC'!C46)</f>
        <v>0</v>
      </c>
      <c r="AB46" s="61">
        <f ca="1">SUM('AC-SVC'!D46)</f>
        <v>0</v>
      </c>
      <c r="AC46" s="61">
        <f ca="1">SUM('AC-SVC'!E46)</f>
        <v>0</v>
      </c>
      <c r="AD46" s="61">
        <f ca="1">SUM('AC-SVC'!F46)</f>
        <v>0</v>
      </c>
      <c r="AE46" s="61">
        <f ca="1">SUM('AC-SVC'!G46)</f>
        <v>0</v>
      </c>
      <c r="AF46" s="61">
        <f ca="1">SUM('AC-SVC'!H46)</f>
        <v>0</v>
      </c>
      <c r="AG46" s="61">
        <f ca="1">SUM(PT!D46)</f>
        <v>0</v>
      </c>
      <c r="AH46" s="61">
        <f ca="1">SUM(CCLC!D46)</f>
        <v>0</v>
      </c>
      <c r="AI46" s="61">
        <f ca="1">SUM(FC!E46)</f>
        <v>0</v>
      </c>
      <c r="AJ46" s="61">
        <v>0</v>
      </c>
      <c r="AK46" s="61">
        <f ca="1">SUM(FS!E46)</f>
        <v>0</v>
      </c>
      <c r="AL46" s="61">
        <f ca="1">SUM(IT!E46)</f>
        <v>0</v>
      </c>
      <c r="AM46" s="74"/>
      <c r="AN46" s="67">
        <f t="shared" si="7"/>
        <v>0</v>
      </c>
    </row>
    <row r="47" spans="1:40">
      <c r="A47" s="10" t="s">
        <v>228</v>
      </c>
      <c r="B47" s="10" t="s">
        <v>300</v>
      </c>
      <c r="C47" s="39"/>
      <c r="D47" s="39">
        <f t="shared" si="5"/>
        <v>0</v>
      </c>
      <c r="E47" s="39">
        <f t="shared" si="6"/>
        <v>0</v>
      </c>
      <c r="F47" s="39"/>
      <c r="G47" s="39"/>
      <c r="H47" s="7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74"/>
      <c r="AA47" s="61">
        <f ca="1">SUM('AC-SVC'!C47)</f>
        <v>0</v>
      </c>
      <c r="AB47" s="61">
        <f ca="1">SUM('AC-SVC'!D47)</f>
        <v>0</v>
      </c>
      <c r="AC47" s="61">
        <f ca="1">SUM('AC-SVC'!E47)</f>
        <v>0</v>
      </c>
      <c r="AD47" s="61">
        <f ca="1">SUM('AC-SVC'!F47)</f>
        <v>0</v>
      </c>
      <c r="AE47" s="61">
        <f ca="1">SUM('AC-SVC'!G47)</f>
        <v>0</v>
      </c>
      <c r="AF47" s="61">
        <f ca="1">SUM('AC-SVC'!H47)</f>
        <v>0</v>
      </c>
      <c r="AG47" s="61">
        <f ca="1">SUM(PT!D47)</f>
        <v>0</v>
      </c>
      <c r="AH47" s="61">
        <f ca="1">SUM(CCLC!D47)</f>
        <v>0</v>
      </c>
      <c r="AI47" s="61">
        <f ca="1">SUM(FC!E47)</f>
        <v>0</v>
      </c>
      <c r="AJ47" s="61">
        <v>0</v>
      </c>
      <c r="AK47" s="61">
        <f ca="1">SUM(FS!E47)</f>
        <v>0</v>
      </c>
      <c r="AL47" s="61">
        <f ca="1">SUM(IT!E47)</f>
        <v>0</v>
      </c>
      <c r="AM47" s="74"/>
      <c r="AN47" s="67">
        <f t="shared" si="7"/>
        <v>0</v>
      </c>
    </row>
    <row r="48" spans="1:40">
      <c r="A48" s="10" t="s">
        <v>229</v>
      </c>
      <c r="B48" s="10" t="s">
        <v>301</v>
      </c>
      <c r="C48" s="40"/>
      <c r="D48" s="40">
        <f t="shared" si="5"/>
        <v>0</v>
      </c>
      <c r="E48" s="40">
        <f t="shared" si="6"/>
        <v>0</v>
      </c>
      <c r="F48" s="40"/>
      <c r="G48" s="40"/>
      <c r="H48" s="8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74"/>
      <c r="AA48" s="40">
        <f ca="1">SUM('AC-SVC'!C48)</f>
        <v>0</v>
      </c>
      <c r="AB48" s="40">
        <f ca="1">SUM('AC-SVC'!D48)</f>
        <v>0</v>
      </c>
      <c r="AC48" s="40">
        <f ca="1">SUM('AC-SVC'!E48)</f>
        <v>0</v>
      </c>
      <c r="AD48" s="40">
        <f ca="1">SUM('AC-SVC'!F48)</f>
        <v>0</v>
      </c>
      <c r="AE48" s="40">
        <f ca="1">SUM('AC-SVC'!G48)</f>
        <v>0</v>
      </c>
      <c r="AF48" s="40">
        <f ca="1">SUM('AC-SVC'!H48)</f>
        <v>0</v>
      </c>
      <c r="AG48" s="40">
        <f ca="1">SUM(PT!D48)</f>
        <v>0</v>
      </c>
      <c r="AH48" s="40">
        <f ca="1">SUM(CCLC!D48)</f>
        <v>0</v>
      </c>
      <c r="AI48" s="40">
        <f ca="1">SUM(FC!E48)</f>
        <v>0</v>
      </c>
      <c r="AJ48" s="40">
        <v>0</v>
      </c>
      <c r="AK48" s="40">
        <f ca="1">SUM(FS!E48)</f>
        <v>0</v>
      </c>
      <c r="AL48" s="40">
        <f ca="1">SUM(IT!E48)</f>
        <v>0</v>
      </c>
      <c r="AM48" s="74"/>
      <c r="AN48" s="66">
        <f t="shared" si="7"/>
        <v>0</v>
      </c>
    </row>
    <row r="49" spans="1:40">
      <c r="B49" s="10" t="s">
        <v>302</v>
      </c>
      <c r="C49" s="39">
        <f>SUM(C41:C48)</f>
        <v>1583971</v>
      </c>
      <c r="D49" s="39">
        <f>SUM(D41:D48)</f>
        <v>0</v>
      </c>
      <c r="E49" s="39">
        <f>SUM(E41:E48)</f>
        <v>0</v>
      </c>
      <c r="F49" s="39">
        <f>SUM(F41:F48)</f>
        <v>0</v>
      </c>
      <c r="G49" s="39">
        <f>SUM(G41:G48)</f>
        <v>0</v>
      </c>
      <c r="H49" s="78"/>
      <c r="I49" s="39">
        <f t="shared" ref="I49:Y49" si="8">SUM(I41:I48)</f>
        <v>0</v>
      </c>
      <c r="J49" s="39">
        <f t="shared" si="8"/>
        <v>0</v>
      </c>
      <c r="K49" s="39">
        <f t="shared" si="8"/>
        <v>0</v>
      </c>
      <c r="L49" s="39">
        <f t="shared" si="8"/>
        <v>0</v>
      </c>
      <c r="M49" s="39">
        <f t="shared" si="8"/>
        <v>0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 t="shared" si="8"/>
        <v>0</v>
      </c>
      <c r="R49" s="39">
        <f t="shared" si="8"/>
        <v>0</v>
      </c>
      <c r="S49" s="39">
        <f t="shared" si="8"/>
        <v>0</v>
      </c>
      <c r="T49" s="39">
        <f t="shared" si="8"/>
        <v>0</v>
      </c>
      <c r="U49" s="39">
        <f t="shared" si="8"/>
        <v>0</v>
      </c>
      <c r="V49" s="39">
        <f t="shared" si="8"/>
        <v>0</v>
      </c>
      <c r="W49" s="39">
        <f t="shared" si="8"/>
        <v>0</v>
      </c>
      <c r="X49" s="39">
        <f t="shared" si="8"/>
        <v>0</v>
      </c>
      <c r="Y49" s="39">
        <f t="shared" si="8"/>
        <v>0</v>
      </c>
      <c r="Z49" s="74"/>
      <c r="AA49" s="39">
        <f t="shared" ref="AA49:AL49" si="9">+SUM(AA41:AA48)</f>
        <v>0</v>
      </c>
      <c r="AB49" s="54">
        <f t="shared" si="9"/>
        <v>0</v>
      </c>
      <c r="AC49" s="39">
        <f t="shared" si="9"/>
        <v>0</v>
      </c>
      <c r="AD49" s="39">
        <f t="shared" si="9"/>
        <v>0</v>
      </c>
      <c r="AE49" s="39">
        <f t="shared" si="9"/>
        <v>0</v>
      </c>
      <c r="AF49" s="39">
        <f t="shared" si="9"/>
        <v>0</v>
      </c>
      <c r="AG49" s="39">
        <f t="shared" si="9"/>
        <v>0</v>
      </c>
      <c r="AH49" s="39">
        <f t="shared" si="9"/>
        <v>0</v>
      </c>
      <c r="AI49" s="39">
        <f t="shared" si="9"/>
        <v>0</v>
      </c>
      <c r="AJ49" s="39">
        <f t="shared" si="9"/>
        <v>0</v>
      </c>
      <c r="AK49" s="39">
        <f t="shared" si="9"/>
        <v>0</v>
      </c>
      <c r="AL49" s="39">
        <f t="shared" si="9"/>
        <v>0</v>
      </c>
      <c r="AM49" s="74"/>
      <c r="AN49" s="57">
        <f>SUM(AN41:AN48)</f>
        <v>1583971</v>
      </c>
    </row>
    <row r="50" spans="1:40">
      <c r="C50" s="39"/>
      <c r="D50" s="39"/>
      <c r="E50" s="39"/>
      <c r="F50" s="39"/>
      <c r="G50" s="39"/>
      <c r="H50" s="7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74"/>
      <c r="AA50" s="39"/>
      <c r="AB50" s="54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74"/>
      <c r="AN50" s="57"/>
    </row>
    <row r="51" spans="1:40">
      <c r="A51" s="10" t="s">
        <v>303</v>
      </c>
      <c r="C51" s="39"/>
      <c r="D51" s="39"/>
      <c r="E51" s="39"/>
      <c r="F51" s="39"/>
      <c r="G51" s="39"/>
      <c r="H51" s="7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74"/>
      <c r="AA51" s="39"/>
      <c r="AB51" s="54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74"/>
      <c r="AN51" s="57"/>
    </row>
    <row r="52" spans="1:40">
      <c r="A52" s="10" t="s">
        <v>304</v>
      </c>
      <c r="C52" s="39"/>
      <c r="D52" s="39"/>
      <c r="E52" s="39"/>
      <c r="F52" s="39"/>
      <c r="G52" s="39"/>
      <c r="H52" s="7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74"/>
      <c r="AA52" s="39"/>
      <c r="AB52" s="54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74"/>
      <c r="AN52" s="57"/>
    </row>
    <row r="53" spans="1:40">
      <c r="A53" s="10" t="s">
        <v>230</v>
      </c>
      <c r="B53" s="10" t="s">
        <v>407</v>
      </c>
      <c r="C53" s="39">
        <f ca="1">285*SUM!B6</f>
        <v>51015</v>
      </c>
      <c r="D53" s="39">
        <f t="shared" ref="D53:D61" si="10">SUM(I53:L53)</f>
        <v>0</v>
      </c>
      <c r="E53" s="39">
        <f t="shared" ref="E53:E65" si="11">+SUM(M53:Y53)</f>
        <v>0</v>
      </c>
      <c r="F53" s="39"/>
      <c r="G53" s="39"/>
      <c r="H53" s="7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74"/>
      <c r="AA53" s="61">
        <f ca="1">SUM('AC-SVC'!C53)</f>
        <v>0</v>
      </c>
      <c r="AB53" s="61">
        <f ca="1">SUM('AC-SVC'!D53)</f>
        <v>0</v>
      </c>
      <c r="AC53" s="61">
        <f ca="1">SUM('AC-SVC'!E53)</f>
        <v>0</v>
      </c>
      <c r="AD53" s="61">
        <f ca="1">SUM('AC-SVC'!F53)</f>
        <v>0</v>
      </c>
      <c r="AE53" s="61">
        <f ca="1">SUM('AC-SVC'!G53)</f>
        <v>0</v>
      </c>
      <c r="AF53" s="61">
        <f ca="1">SUM('AC-SVC'!H53)</f>
        <v>0</v>
      </c>
      <c r="AG53" s="61">
        <f ca="1">SUM(PT!D53)</f>
        <v>0</v>
      </c>
      <c r="AH53" s="61">
        <f ca="1">SUM(CCLC!D53)</f>
        <v>0</v>
      </c>
      <c r="AI53" s="61">
        <f ca="1">SUM(FC!E53)</f>
        <v>0</v>
      </c>
      <c r="AJ53" s="61">
        <v>0</v>
      </c>
      <c r="AK53" s="61">
        <f ca="1">SUM(FS!E53)</f>
        <v>0</v>
      </c>
      <c r="AL53" s="61">
        <f ca="1">SUM(IT!E53)</f>
        <v>0</v>
      </c>
      <c r="AM53" s="74"/>
      <c r="AN53" s="67">
        <f t="shared" ref="AN53:AN65" si="12">SUM(C53:G53)+SUM(AA53:AL53)</f>
        <v>51015</v>
      </c>
    </row>
    <row r="54" spans="1:40">
      <c r="A54" s="10" t="s">
        <v>231</v>
      </c>
      <c r="B54" s="10" t="s">
        <v>408</v>
      </c>
      <c r="C54" s="39"/>
      <c r="D54" s="39">
        <f t="shared" si="10"/>
        <v>0</v>
      </c>
      <c r="E54" s="39">
        <f t="shared" si="11"/>
        <v>0</v>
      </c>
      <c r="F54" s="39"/>
      <c r="G54" s="39"/>
      <c r="H54" s="7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74"/>
      <c r="AA54" s="61">
        <f ca="1">SUM('AC-SVC'!C54)</f>
        <v>0</v>
      </c>
      <c r="AB54" s="61">
        <f ca="1">SUM('AC-SVC'!D54)</f>
        <v>0</v>
      </c>
      <c r="AC54" s="61">
        <f ca="1">SUM('AC-SVC'!E54)</f>
        <v>0</v>
      </c>
      <c r="AD54" s="61">
        <f ca="1">SUM('AC-SVC'!F54)</f>
        <v>0</v>
      </c>
      <c r="AE54" s="61">
        <f ca="1">SUM('AC-SVC'!G54)</f>
        <v>0</v>
      </c>
      <c r="AF54" s="61">
        <f ca="1">SUM('AC-SVC'!H54)</f>
        <v>0</v>
      </c>
      <c r="AG54" s="61">
        <f ca="1">SUM(PT!D54)</f>
        <v>0</v>
      </c>
      <c r="AH54" s="61">
        <f ca="1">SUM(CCLC!D54)</f>
        <v>0</v>
      </c>
      <c r="AI54" s="61">
        <f ca="1">SUM(FC!E54)</f>
        <v>0</v>
      </c>
      <c r="AJ54" s="61">
        <v>0</v>
      </c>
      <c r="AK54" s="61">
        <f ca="1">SUM(FS!E54)</f>
        <v>0</v>
      </c>
      <c r="AL54" s="61">
        <f ca="1">SUM(IT!E54)</f>
        <v>0</v>
      </c>
      <c r="AM54" s="74"/>
      <c r="AN54" s="67">
        <f t="shared" si="12"/>
        <v>0</v>
      </c>
    </row>
    <row r="55" spans="1:40">
      <c r="A55" s="10" t="s">
        <v>232</v>
      </c>
      <c r="B55" s="10" t="s">
        <v>409</v>
      </c>
      <c r="C55" s="39">
        <v>0</v>
      </c>
      <c r="D55" s="39">
        <f t="shared" si="10"/>
        <v>0</v>
      </c>
      <c r="E55" s="39">
        <f t="shared" si="11"/>
        <v>0</v>
      </c>
      <c r="F55" s="39"/>
      <c r="G55" s="39"/>
      <c r="H55" s="7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74"/>
      <c r="AA55" s="61">
        <f ca="1">SUM('AC-SVC'!C55)</f>
        <v>0</v>
      </c>
      <c r="AB55" s="61">
        <f ca="1">SUM('AC-SVC'!D55)</f>
        <v>0</v>
      </c>
      <c r="AC55" s="61">
        <f ca="1">SUM('AC-SVC'!E55)</f>
        <v>0</v>
      </c>
      <c r="AD55" s="61">
        <f ca="1">SUM('AC-SVC'!F55)</f>
        <v>0</v>
      </c>
      <c r="AE55" s="61">
        <f ca="1">SUM('AC-SVC'!G55)</f>
        <v>0</v>
      </c>
      <c r="AF55" s="61">
        <f ca="1">SUM('AC-SVC'!H55)</f>
        <v>0</v>
      </c>
      <c r="AG55" s="61">
        <f ca="1">SUM(PT!D55)</f>
        <v>0</v>
      </c>
      <c r="AH55" s="61">
        <f ca="1">SUM(CCLC!D55)</f>
        <v>0</v>
      </c>
      <c r="AI55" s="61">
        <f ca="1">SUM(FC!E55)</f>
        <v>0</v>
      </c>
      <c r="AJ55" s="61">
        <v>0</v>
      </c>
      <c r="AK55" s="61">
        <f ca="1">SUM(FS!E55)</f>
        <v>0</v>
      </c>
      <c r="AL55" s="61">
        <f ca="1">SUM(IT!E55)</f>
        <v>0</v>
      </c>
      <c r="AM55" s="74"/>
      <c r="AN55" s="67">
        <f t="shared" si="12"/>
        <v>0</v>
      </c>
    </row>
    <row r="56" spans="1:40">
      <c r="A56" s="10" t="s">
        <v>233</v>
      </c>
      <c r="B56" s="10" t="s">
        <v>305</v>
      </c>
      <c r="C56" s="39"/>
      <c r="D56" s="39">
        <f t="shared" si="10"/>
        <v>0</v>
      </c>
      <c r="E56" s="39">
        <f t="shared" si="11"/>
        <v>0</v>
      </c>
      <c r="F56" s="39"/>
      <c r="G56" s="39"/>
      <c r="H56" s="7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74"/>
      <c r="AA56" s="61">
        <f ca="1">SUM('AC-SVC'!C56)</f>
        <v>0</v>
      </c>
      <c r="AB56" s="61">
        <f ca="1">SUM('AC-SVC'!D56)</f>
        <v>0</v>
      </c>
      <c r="AC56" s="61">
        <f ca="1">SUM('AC-SVC'!E56)</f>
        <v>0</v>
      </c>
      <c r="AD56" s="61">
        <f ca="1">SUM('AC-SVC'!F56)</f>
        <v>0</v>
      </c>
      <c r="AE56" s="61">
        <f ca="1">SUM('AC-SVC'!G56)</f>
        <v>0</v>
      </c>
      <c r="AF56" s="61">
        <f ca="1">SUM('AC-SVC'!H56)</f>
        <v>0</v>
      </c>
      <c r="AG56" s="61">
        <f ca="1">SUM(PT!D56)</f>
        <v>0</v>
      </c>
      <c r="AH56" s="61">
        <f ca="1">SUM(CCLC!D56)</f>
        <v>0</v>
      </c>
      <c r="AI56" s="61">
        <f ca="1">SUM(FC!E56)</f>
        <v>0</v>
      </c>
      <c r="AJ56" s="61">
        <v>0</v>
      </c>
      <c r="AK56" s="61">
        <f ca="1">SUM(FS!E56)</f>
        <v>0</v>
      </c>
      <c r="AL56" s="61">
        <f ca="1">SUM(IT!E56)</f>
        <v>0</v>
      </c>
      <c r="AM56" s="74"/>
      <c r="AN56" s="67">
        <f t="shared" si="12"/>
        <v>0</v>
      </c>
    </row>
    <row r="57" spans="1:40">
      <c r="A57" s="10" t="s">
        <v>234</v>
      </c>
      <c r="B57" s="10" t="s">
        <v>306</v>
      </c>
      <c r="C57" s="39"/>
      <c r="D57" s="39">
        <f t="shared" si="10"/>
        <v>0</v>
      </c>
      <c r="E57" s="39">
        <f t="shared" si="11"/>
        <v>0</v>
      </c>
      <c r="F57" s="39"/>
      <c r="G57" s="39"/>
      <c r="H57" s="7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74"/>
      <c r="AA57" s="61">
        <f ca="1">SUM('AC-SVC'!C57)</f>
        <v>0</v>
      </c>
      <c r="AB57" s="61">
        <f ca="1">SUM('AC-SVC'!D57)</f>
        <v>0</v>
      </c>
      <c r="AC57" s="61">
        <f ca="1">SUM('AC-SVC'!E57)</f>
        <v>0</v>
      </c>
      <c r="AD57" s="61">
        <f ca="1">SUM('AC-SVC'!F57)</f>
        <v>0</v>
      </c>
      <c r="AE57" s="61">
        <f ca="1">SUM('AC-SVC'!G57)</f>
        <v>0</v>
      </c>
      <c r="AF57" s="61">
        <f ca="1">SUM('AC-SVC'!H57)</f>
        <v>0</v>
      </c>
      <c r="AG57" s="61">
        <f ca="1">SUM(PT!D57)</f>
        <v>0</v>
      </c>
      <c r="AH57" s="61">
        <f ca="1">SUM(CCLC!D57)</f>
        <v>0</v>
      </c>
      <c r="AI57" s="61">
        <f ca="1">SUM(FC!E57)</f>
        <v>0</v>
      </c>
      <c r="AJ57" s="61">
        <v>0</v>
      </c>
      <c r="AK57" s="61">
        <f ca="1">SUM(FS!E57)</f>
        <v>58139.200000000004</v>
      </c>
      <c r="AL57" s="61">
        <f ca="1">SUM(IT!E57)</f>
        <v>0</v>
      </c>
      <c r="AM57" s="74"/>
      <c r="AN57" s="67">
        <f t="shared" si="12"/>
        <v>58139.200000000004</v>
      </c>
    </row>
    <row r="58" spans="1:40">
      <c r="A58" s="10" t="s">
        <v>0</v>
      </c>
      <c r="B58" s="10" t="s">
        <v>307</v>
      </c>
      <c r="C58" s="39"/>
      <c r="D58" s="39">
        <f t="shared" si="10"/>
        <v>0</v>
      </c>
      <c r="E58" s="39">
        <f t="shared" si="11"/>
        <v>0</v>
      </c>
      <c r="F58" s="39"/>
      <c r="G58" s="39"/>
      <c r="H58" s="7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74"/>
      <c r="AA58" s="61">
        <f ca="1">SUM('AC-SVC'!C58)</f>
        <v>0</v>
      </c>
      <c r="AB58" s="61">
        <f ca="1">SUM('AC-SVC'!D58)</f>
        <v>0</v>
      </c>
      <c r="AC58" s="61">
        <f ca="1">SUM('AC-SVC'!E58)</f>
        <v>0</v>
      </c>
      <c r="AD58" s="61">
        <f ca="1">SUM('AC-SVC'!F58)</f>
        <v>0</v>
      </c>
      <c r="AE58" s="61">
        <f ca="1">SUM('AC-SVC'!G58)</f>
        <v>0</v>
      </c>
      <c r="AF58" s="61">
        <f ca="1">SUM('AC-SVC'!H58)</f>
        <v>0</v>
      </c>
      <c r="AG58" s="61">
        <f ca="1">SUM(PT!D58)</f>
        <v>0</v>
      </c>
      <c r="AH58" s="61">
        <f ca="1">SUM(CCLC!D58)</f>
        <v>0</v>
      </c>
      <c r="AI58" s="61">
        <f ca="1">SUM(FC!E58)</f>
        <v>0</v>
      </c>
      <c r="AJ58" s="61">
        <v>0</v>
      </c>
      <c r="AK58" s="61">
        <f ca="1">SUM(FS!E58)</f>
        <v>0</v>
      </c>
      <c r="AL58" s="61">
        <f ca="1">SUM(IT!E58)</f>
        <v>17377.136999999999</v>
      </c>
      <c r="AM58" s="74"/>
      <c r="AN58" s="67">
        <f t="shared" si="12"/>
        <v>17377.136999999999</v>
      </c>
    </row>
    <row r="59" spans="1:40">
      <c r="A59" s="10" t="s">
        <v>1</v>
      </c>
      <c r="B59" s="10" t="s">
        <v>308</v>
      </c>
      <c r="C59" s="39"/>
      <c r="D59" s="39">
        <f t="shared" si="10"/>
        <v>0</v>
      </c>
      <c r="E59" s="39">
        <f t="shared" si="11"/>
        <v>0</v>
      </c>
      <c r="F59" s="39"/>
      <c r="G59" s="39"/>
      <c r="H59" s="7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74"/>
      <c r="AA59" s="61">
        <f ca="1">SUM('AC-SVC'!C59)</f>
        <v>0</v>
      </c>
      <c r="AB59" s="61">
        <f ca="1">SUM('AC-SVC'!D59)</f>
        <v>0</v>
      </c>
      <c r="AC59" s="61">
        <f ca="1">SUM('AC-SVC'!E59)</f>
        <v>0</v>
      </c>
      <c r="AD59" s="61">
        <f ca="1">SUM('AC-SVC'!F59)</f>
        <v>0</v>
      </c>
      <c r="AE59" s="61">
        <f ca="1">SUM('AC-SVC'!G59)</f>
        <v>0</v>
      </c>
      <c r="AF59" s="61">
        <f ca="1">SUM('AC-SVC'!H59)</f>
        <v>0</v>
      </c>
      <c r="AG59" s="61">
        <f ca="1">SUM(PT!D59)</f>
        <v>0</v>
      </c>
      <c r="AH59" s="61">
        <f ca="1">SUM(CCLC!D59)</f>
        <v>33598</v>
      </c>
      <c r="AI59" s="61">
        <f ca="1">SUM(FC!E59)</f>
        <v>0</v>
      </c>
      <c r="AJ59" s="61">
        <v>0</v>
      </c>
      <c r="AK59" s="61">
        <f ca="1">SUM(FS!E59)</f>
        <v>0</v>
      </c>
      <c r="AL59" s="61">
        <f ca="1">SUM(IT!E59)</f>
        <v>0</v>
      </c>
      <c r="AM59" s="74"/>
      <c r="AN59" s="67">
        <f t="shared" si="12"/>
        <v>33598</v>
      </c>
    </row>
    <row r="60" spans="1:40">
      <c r="A60" s="10" t="s">
        <v>3</v>
      </c>
      <c r="B60" s="10" t="s">
        <v>2</v>
      </c>
      <c r="C60" s="39"/>
      <c r="D60" s="39">
        <f t="shared" si="10"/>
        <v>0</v>
      </c>
      <c r="E60" s="39">
        <f t="shared" si="11"/>
        <v>0</v>
      </c>
      <c r="F60" s="39"/>
      <c r="G60" s="39"/>
      <c r="H60" s="7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74"/>
      <c r="AA60" s="61">
        <f ca="1">SUM('AC-SVC'!C60)</f>
        <v>0</v>
      </c>
      <c r="AB60" s="61">
        <f ca="1">SUM('AC-SVC'!D60)</f>
        <v>0</v>
      </c>
      <c r="AC60" s="61">
        <f ca="1">SUM('AC-SVC'!E60)</f>
        <v>0</v>
      </c>
      <c r="AD60" s="61">
        <f ca="1">SUM('AC-SVC'!F60)</f>
        <v>0</v>
      </c>
      <c r="AE60" s="61">
        <f ca="1">SUM('AC-SVC'!G60)</f>
        <v>0</v>
      </c>
      <c r="AF60" s="61">
        <f ca="1">SUM('AC-SVC'!H60)</f>
        <v>0</v>
      </c>
      <c r="AG60" s="61">
        <f ca="1">SUM(PT!D60)</f>
        <v>0</v>
      </c>
      <c r="AH60" s="61">
        <f ca="1">SUM(CCLC!D60)</f>
        <v>0</v>
      </c>
      <c r="AI60" s="61">
        <f ca="1">SUM(FC!E60)</f>
        <v>0</v>
      </c>
      <c r="AJ60" s="61">
        <v>0</v>
      </c>
      <c r="AK60" s="61">
        <f ca="1">SUM(FS!E60)</f>
        <v>0</v>
      </c>
      <c r="AL60" s="61">
        <f ca="1">SUM(IT!E60)</f>
        <v>0</v>
      </c>
      <c r="AM60" s="74"/>
      <c r="AN60" s="67">
        <f t="shared" si="12"/>
        <v>0</v>
      </c>
    </row>
    <row r="61" spans="1:40">
      <c r="A61" s="10" t="s">
        <v>4</v>
      </c>
      <c r="B61" s="10" t="s">
        <v>5</v>
      </c>
      <c r="C61" s="39">
        <v>400000</v>
      </c>
      <c r="D61" s="39">
        <f t="shared" si="10"/>
        <v>0</v>
      </c>
      <c r="E61" s="39">
        <f t="shared" si="11"/>
        <v>0</v>
      </c>
      <c r="F61" s="54"/>
      <c r="G61" s="54"/>
      <c r="H61" s="7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74"/>
      <c r="AA61" s="61">
        <f ca="1">SUM('AC-SVC'!C61)</f>
        <v>0</v>
      </c>
      <c r="AB61" s="61">
        <f ca="1">SUM('AC-SVC'!D61)*AB7</f>
        <v>62500</v>
      </c>
      <c r="AC61" s="61">
        <f ca="1">SUM('AC-SVC'!E61)</f>
        <v>0</v>
      </c>
      <c r="AD61" s="61">
        <f ca="1">SUM('AC-SVC'!F61)</f>
        <v>0</v>
      </c>
      <c r="AE61" s="61">
        <f ca="1">SUM('AC-SVC'!G61)</f>
        <v>0</v>
      </c>
      <c r="AF61" s="61">
        <f ca="1">SUM('AC-SVC'!H61)</f>
        <v>0</v>
      </c>
      <c r="AG61" s="61">
        <f ca="1">SUM(PT!D61)</f>
        <v>0</v>
      </c>
      <c r="AH61" s="61">
        <f ca="1">SUM(CCLC!D61)</f>
        <v>0</v>
      </c>
      <c r="AI61" s="61">
        <f ca="1">SUM(FC!E61)</f>
        <v>0</v>
      </c>
      <c r="AJ61" s="61">
        <v>0</v>
      </c>
      <c r="AK61" s="61">
        <f ca="1">SUM(FS!E61)</f>
        <v>0</v>
      </c>
      <c r="AL61" s="61">
        <f ca="1">SUM(IT!E61)</f>
        <v>0</v>
      </c>
      <c r="AM61" s="74"/>
      <c r="AN61" s="67">
        <f t="shared" si="12"/>
        <v>462500</v>
      </c>
    </row>
    <row r="62" spans="1:40">
      <c r="A62" s="10" t="s">
        <v>6</v>
      </c>
      <c r="B62" s="10" t="s">
        <v>7</v>
      </c>
      <c r="C62" s="39"/>
      <c r="D62" s="39">
        <f>SUM(I62:L62)</f>
        <v>0</v>
      </c>
      <c r="E62" s="39">
        <f t="shared" si="11"/>
        <v>0</v>
      </c>
      <c r="F62" s="39"/>
      <c r="G62" s="39"/>
      <c r="H62" s="7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74"/>
      <c r="AA62" s="61">
        <f ca="1">SUM('AC-SVC'!C62)</f>
        <v>0</v>
      </c>
      <c r="AB62" s="61">
        <f ca="1">SUM('AC-SVC'!D62)</f>
        <v>0</v>
      </c>
      <c r="AC62" s="61">
        <f ca="1">SUM('AC-SVC'!E62)</f>
        <v>0</v>
      </c>
      <c r="AD62" s="61">
        <f ca="1">SUM('AC-SVC'!F62)</f>
        <v>0</v>
      </c>
      <c r="AE62" s="61">
        <f ca="1">SUM('AC-SVC'!G62)</f>
        <v>0</v>
      </c>
      <c r="AF62" s="61">
        <f ca="1">SUM('AC-SVC'!H62)</f>
        <v>0</v>
      </c>
      <c r="AG62" s="61">
        <f ca="1">SUM(PT!D62)</f>
        <v>0</v>
      </c>
      <c r="AH62" s="61">
        <f ca="1">SUM(CCLC!D62)</f>
        <v>0</v>
      </c>
      <c r="AI62" s="61">
        <f ca="1">SUM(FC!E62)</f>
        <v>0</v>
      </c>
      <c r="AJ62" s="61">
        <v>0</v>
      </c>
      <c r="AK62" s="61">
        <f ca="1">SUM(FS!E62)</f>
        <v>0</v>
      </c>
      <c r="AL62" s="61">
        <f ca="1">SUM(IT!E62)</f>
        <v>0</v>
      </c>
      <c r="AM62" s="74"/>
      <c r="AN62" s="67">
        <f t="shared" si="12"/>
        <v>0</v>
      </c>
    </row>
    <row r="63" spans="1:40">
      <c r="A63" s="10" t="s">
        <v>8</v>
      </c>
      <c r="B63" s="10" t="s">
        <v>9</v>
      </c>
      <c r="C63" s="39"/>
      <c r="D63" s="39">
        <f>SUM(I63:L63)</f>
        <v>0</v>
      </c>
      <c r="E63" s="39">
        <f t="shared" si="11"/>
        <v>0</v>
      </c>
      <c r="F63" s="39"/>
      <c r="G63" s="39"/>
      <c r="H63" s="7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74"/>
      <c r="AA63" s="61">
        <f ca="1">SUM('AC-SVC'!C63)</f>
        <v>0</v>
      </c>
      <c r="AB63" s="61">
        <f ca="1">SUM('AC-SVC'!D63)</f>
        <v>0</v>
      </c>
      <c r="AC63" s="61">
        <f ca="1">SUM('AC-SVC'!E63)</f>
        <v>0</v>
      </c>
      <c r="AD63" s="61">
        <f ca="1">SUM('AC-SVC'!F63)</f>
        <v>0</v>
      </c>
      <c r="AE63" s="61">
        <f ca="1">SUM('AC-SVC'!G63)</f>
        <v>0</v>
      </c>
      <c r="AF63" s="61">
        <f ca="1">SUM('AC-SVC'!H63)</f>
        <v>0</v>
      </c>
      <c r="AG63" s="61">
        <f ca="1">SUM(PT!D63)</f>
        <v>0</v>
      </c>
      <c r="AH63" s="61">
        <f ca="1">SUM(CCLC!D63)</f>
        <v>0</v>
      </c>
      <c r="AI63" s="61">
        <f ca="1">SUM(FC!E63)</f>
        <v>0</v>
      </c>
      <c r="AJ63" s="61">
        <v>0</v>
      </c>
      <c r="AK63" s="61">
        <f ca="1">SUM(FS!E63)</f>
        <v>0</v>
      </c>
      <c r="AL63" s="61">
        <f ca="1">SUM(IT!E63)</f>
        <v>0</v>
      </c>
      <c r="AM63" s="74"/>
      <c r="AN63" s="67">
        <f t="shared" si="12"/>
        <v>0</v>
      </c>
    </row>
    <row r="64" spans="1:40">
      <c r="A64" s="10" t="s">
        <v>11</v>
      </c>
      <c r="B64" s="10" t="s">
        <v>310</v>
      </c>
      <c r="C64" s="39"/>
      <c r="D64" s="39">
        <f>SUM(I64:L64)</f>
        <v>0</v>
      </c>
      <c r="E64" s="39">
        <f t="shared" si="11"/>
        <v>0</v>
      </c>
      <c r="F64" s="39"/>
      <c r="G64" s="39"/>
      <c r="H64" s="7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74"/>
      <c r="AA64" s="61">
        <f ca="1">SUM('AC-SVC'!C64)</f>
        <v>0</v>
      </c>
      <c r="AB64" s="61">
        <f ca="1">SUM('AC-SVC'!D64)</f>
        <v>0</v>
      </c>
      <c r="AC64" s="61">
        <f ca="1">SUM('AC-SVC'!E64)</f>
        <v>0</v>
      </c>
      <c r="AD64" s="61">
        <f ca="1">SUM('AC-SVC'!F64)</f>
        <v>0</v>
      </c>
      <c r="AE64" s="61">
        <f ca="1">SUM('AC-SVC'!G64)</f>
        <v>0</v>
      </c>
      <c r="AF64" s="61">
        <f ca="1">SUM('AC-SVC'!H64)</f>
        <v>0</v>
      </c>
      <c r="AG64" s="61">
        <f ca="1">SUM(PT!D64)</f>
        <v>0</v>
      </c>
      <c r="AH64" s="61">
        <f ca="1">SUM(CCLC!D64)</f>
        <v>0</v>
      </c>
      <c r="AI64" s="61">
        <f ca="1">SUM(FC!E64)</f>
        <v>0</v>
      </c>
      <c r="AJ64" s="61">
        <v>0</v>
      </c>
      <c r="AK64" s="61">
        <f ca="1">SUM(FS!E64)</f>
        <v>0</v>
      </c>
      <c r="AL64" s="61">
        <f ca="1">SUM(IT!E64)</f>
        <v>0</v>
      </c>
      <c r="AM64" s="74"/>
      <c r="AN64" s="67">
        <f t="shared" si="12"/>
        <v>0</v>
      </c>
    </row>
    <row r="65" spans="1:40">
      <c r="A65" s="10" t="s">
        <v>10</v>
      </c>
      <c r="B65" s="10" t="s">
        <v>309</v>
      </c>
      <c r="C65" s="40"/>
      <c r="D65" s="40">
        <f>SUM(I65:L65)</f>
        <v>0</v>
      </c>
      <c r="E65" s="40">
        <f t="shared" si="11"/>
        <v>0</v>
      </c>
      <c r="F65" s="40"/>
      <c r="G65" s="40"/>
      <c r="H65" s="8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74"/>
      <c r="AA65" s="40">
        <f ca="1">SUM('AC-SVC'!C65)</f>
        <v>0</v>
      </c>
      <c r="AB65" s="40">
        <f ca="1">SUM('AC-SVC'!D65)</f>
        <v>0</v>
      </c>
      <c r="AC65" s="40">
        <f ca="1">SUM('AC-SVC'!E65)</f>
        <v>0</v>
      </c>
      <c r="AD65" s="40">
        <f ca="1">SUM('AC-SVC'!F65)</f>
        <v>0</v>
      </c>
      <c r="AE65" s="40">
        <f ca="1">SUM('AC-SVC'!G65)</f>
        <v>0</v>
      </c>
      <c r="AF65" s="40">
        <f ca="1">SUM('AC-SVC'!H65)</f>
        <v>0</v>
      </c>
      <c r="AG65" s="40">
        <f ca="1">SUM(PT!D65)</f>
        <v>0</v>
      </c>
      <c r="AH65" s="40">
        <f ca="1">SUM(CCLC!D65)</f>
        <v>0</v>
      </c>
      <c r="AI65" s="40">
        <f ca="1">SUM(FC!E65)</f>
        <v>0</v>
      </c>
      <c r="AJ65" s="40">
        <v>0</v>
      </c>
      <c r="AK65" s="40">
        <f ca="1">SUM(FS!E65)</f>
        <v>0</v>
      </c>
      <c r="AL65" s="40">
        <f ca="1">SUM(IT!E65)</f>
        <v>0</v>
      </c>
      <c r="AM65" s="74"/>
      <c r="AN65" s="66">
        <f t="shared" si="12"/>
        <v>0</v>
      </c>
    </row>
    <row r="66" spans="1:40">
      <c r="B66" s="10" t="s">
        <v>311</v>
      </c>
      <c r="C66" s="39">
        <f>SUM(C53:C65)</f>
        <v>451015</v>
      </c>
      <c r="D66" s="39">
        <f>SUM(D53:D65)</f>
        <v>0</v>
      </c>
      <c r="E66" s="39">
        <f>SUM(E53:E65)</f>
        <v>0</v>
      </c>
      <c r="F66" s="39">
        <f>SUM(F53:F65)</f>
        <v>0</v>
      </c>
      <c r="G66" s="39">
        <f>SUM(G53:G65)</f>
        <v>0</v>
      </c>
      <c r="H66" s="78"/>
      <c r="I66" s="39">
        <f t="shared" ref="I66:Y66" si="13">SUM(I53:I65)</f>
        <v>0</v>
      </c>
      <c r="J66" s="39">
        <f t="shared" si="13"/>
        <v>0</v>
      </c>
      <c r="K66" s="39">
        <f t="shared" si="13"/>
        <v>0</v>
      </c>
      <c r="L66" s="39">
        <f t="shared" si="13"/>
        <v>0</v>
      </c>
      <c r="M66" s="39">
        <f t="shared" si="13"/>
        <v>0</v>
      </c>
      <c r="N66" s="39">
        <f t="shared" si="13"/>
        <v>0</v>
      </c>
      <c r="O66" s="39">
        <f t="shared" si="13"/>
        <v>0</v>
      </c>
      <c r="P66" s="39">
        <f t="shared" si="13"/>
        <v>0</v>
      </c>
      <c r="Q66" s="39">
        <f t="shared" si="13"/>
        <v>0</v>
      </c>
      <c r="R66" s="39">
        <f t="shared" si="13"/>
        <v>0</v>
      </c>
      <c r="S66" s="39">
        <f t="shared" si="13"/>
        <v>0</v>
      </c>
      <c r="T66" s="39">
        <f t="shared" si="13"/>
        <v>0</v>
      </c>
      <c r="U66" s="39">
        <f t="shared" si="13"/>
        <v>0</v>
      </c>
      <c r="V66" s="39">
        <f t="shared" si="13"/>
        <v>0</v>
      </c>
      <c r="W66" s="39">
        <f t="shared" si="13"/>
        <v>0</v>
      </c>
      <c r="X66" s="39">
        <f t="shared" si="13"/>
        <v>0</v>
      </c>
      <c r="Y66" s="39">
        <f t="shared" si="13"/>
        <v>0</v>
      </c>
      <c r="Z66" s="74"/>
      <c r="AA66" s="39">
        <f t="shared" ref="AA66:AL66" si="14">+SUM(AA53:AA65)</f>
        <v>0</v>
      </c>
      <c r="AB66" s="54">
        <f t="shared" si="14"/>
        <v>62500</v>
      </c>
      <c r="AC66" s="39">
        <f t="shared" si="14"/>
        <v>0</v>
      </c>
      <c r="AD66" s="39">
        <f t="shared" si="14"/>
        <v>0</v>
      </c>
      <c r="AE66" s="39">
        <f t="shared" si="14"/>
        <v>0</v>
      </c>
      <c r="AF66" s="39">
        <f t="shared" si="14"/>
        <v>0</v>
      </c>
      <c r="AG66" s="39">
        <f t="shared" si="14"/>
        <v>0</v>
      </c>
      <c r="AH66" s="39">
        <f t="shared" si="14"/>
        <v>33598</v>
      </c>
      <c r="AI66" s="39">
        <f t="shared" si="14"/>
        <v>0</v>
      </c>
      <c r="AJ66" s="39">
        <f t="shared" si="14"/>
        <v>0</v>
      </c>
      <c r="AK66" s="39">
        <f t="shared" si="14"/>
        <v>58139.200000000004</v>
      </c>
      <c r="AL66" s="39">
        <f t="shared" si="14"/>
        <v>17377.136999999999</v>
      </c>
      <c r="AM66" s="74"/>
      <c r="AN66" s="57">
        <f>SUM(AN53:AN65)</f>
        <v>622629.33700000006</v>
      </c>
    </row>
    <row r="67" spans="1:40">
      <c r="C67" s="39"/>
      <c r="D67" s="39"/>
      <c r="E67" s="39"/>
      <c r="F67" s="39"/>
      <c r="G67" s="39"/>
      <c r="H67" s="7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74"/>
      <c r="AA67" s="39"/>
      <c r="AB67" s="54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74"/>
      <c r="AN67" s="57"/>
    </row>
    <row r="68" spans="1:40" s="4" customFormat="1" ht="10.5">
      <c r="A68" s="14"/>
      <c r="B68" s="14" t="s">
        <v>312</v>
      </c>
      <c r="C68" s="41">
        <f>SUM(C38+C49+C66)</f>
        <v>2131496</v>
      </c>
      <c r="D68" s="41">
        <f t="shared" ref="D68:Y68" si="15">SUM(D38+D49+D66)</f>
        <v>0</v>
      </c>
      <c r="E68" s="41">
        <f t="shared" si="15"/>
        <v>0</v>
      </c>
      <c r="F68" s="41">
        <f t="shared" si="15"/>
        <v>0</v>
      </c>
      <c r="G68" s="41">
        <f t="shared" si="15"/>
        <v>0</v>
      </c>
      <c r="H68" s="81"/>
      <c r="I68" s="41">
        <f t="shared" si="15"/>
        <v>0</v>
      </c>
      <c r="J68" s="41">
        <f t="shared" si="15"/>
        <v>0</v>
      </c>
      <c r="K68" s="41">
        <f>SUM(K38+K49+K66)</f>
        <v>0</v>
      </c>
      <c r="L68" s="41">
        <f t="shared" si="15"/>
        <v>0</v>
      </c>
      <c r="M68" s="41">
        <f t="shared" si="15"/>
        <v>0</v>
      </c>
      <c r="N68" s="41">
        <f t="shared" si="15"/>
        <v>0</v>
      </c>
      <c r="O68" s="41">
        <f t="shared" si="15"/>
        <v>0</v>
      </c>
      <c r="P68" s="41">
        <f t="shared" si="15"/>
        <v>0</v>
      </c>
      <c r="Q68" s="41">
        <f t="shared" si="15"/>
        <v>0</v>
      </c>
      <c r="R68" s="41">
        <f t="shared" si="15"/>
        <v>0</v>
      </c>
      <c r="S68" s="41">
        <f t="shared" si="15"/>
        <v>0</v>
      </c>
      <c r="T68" s="41">
        <f t="shared" si="15"/>
        <v>0</v>
      </c>
      <c r="U68" s="41">
        <f t="shared" si="15"/>
        <v>0</v>
      </c>
      <c r="V68" s="41">
        <f t="shared" si="15"/>
        <v>0</v>
      </c>
      <c r="W68" s="41">
        <f t="shared" si="15"/>
        <v>0</v>
      </c>
      <c r="X68" s="41">
        <f t="shared" si="15"/>
        <v>0</v>
      </c>
      <c r="Y68" s="41">
        <f t="shared" si="15"/>
        <v>0</v>
      </c>
      <c r="Z68" s="77"/>
      <c r="AA68" s="41">
        <f t="shared" ref="AA68:AF68" si="16">+AA66+AA49+AA38</f>
        <v>0</v>
      </c>
      <c r="AB68" s="57">
        <f t="shared" si="16"/>
        <v>62500</v>
      </c>
      <c r="AC68" s="41">
        <f t="shared" si="16"/>
        <v>0</v>
      </c>
      <c r="AD68" s="41">
        <f t="shared" si="16"/>
        <v>0</v>
      </c>
      <c r="AE68" s="41">
        <f t="shared" si="16"/>
        <v>800</v>
      </c>
      <c r="AF68" s="41">
        <f t="shared" si="16"/>
        <v>0</v>
      </c>
      <c r="AG68" s="41">
        <f>+AG38+AG49+AG66</f>
        <v>33750</v>
      </c>
      <c r="AH68" s="41">
        <f>+AH38+AH49+AH66</f>
        <v>59961.636363636368</v>
      </c>
      <c r="AI68" s="41">
        <f>+AI38+AI49+AI66</f>
        <v>0</v>
      </c>
      <c r="AJ68" s="41">
        <f>+AJ66+AJ49+AJ38</f>
        <v>0</v>
      </c>
      <c r="AK68" s="41">
        <f>+AK66+AK49+AK38</f>
        <v>86779.200000000012</v>
      </c>
      <c r="AL68" s="41">
        <f>+AL66+AL49+AL38</f>
        <v>17377.136999999999</v>
      </c>
      <c r="AM68" s="77"/>
      <c r="AN68" s="41">
        <f>+AN66+AN49+AN38</f>
        <v>2392663.9733636365</v>
      </c>
    </row>
    <row r="69" spans="1:40">
      <c r="C69" s="39"/>
      <c r="D69" s="39"/>
      <c r="E69" s="39"/>
      <c r="F69" s="39"/>
      <c r="G69" s="39"/>
      <c r="H69" s="7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74"/>
      <c r="AA69" s="39"/>
      <c r="AB69" s="54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74"/>
      <c r="AN69" s="57"/>
    </row>
    <row r="70" spans="1:40">
      <c r="A70" s="10" t="s">
        <v>313</v>
      </c>
      <c r="C70" s="39"/>
      <c r="D70" s="39"/>
      <c r="E70" s="39"/>
      <c r="F70" s="39"/>
      <c r="G70" s="39"/>
      <c r="H70" s="7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74"/>
      <c r="AA70" s="39"/>
      <c r="AB70" s="54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74"/>
      <c r="AN70" s="57"/>
    </row>
    <row r="71" spans="1:40">
      <c r="A71" s="10" t="s">
        <v>314</v>
      </c>
      <c r="C71" s="39"/>
      <c r="D71" s="39"/>
      <c r="E71" s="39"/>
      <c r="F71" s="39"/>
      <c r="G71" s="39"/>
      <c r="H71" s="7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74"/>
      <c r="AA71" s="39"/>
      <c r="AB71" s="54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74"/>
      <c r="AN71" s="57"/>
    </row>
    <row r="72" spans="1:40">
      <c r="A72" s="10" t="s">
        <v>19</v>
      </c>
      <c r="B72" s="10" t="s">
        <v>323</v>
      </c>
      <c r="C72" s="39"/>
      <c r="D72" s="39">
        <f t="shared" ref="D72:D79" si="17">SUM(I72:L72)</f>
        <v>0</v>
      </c>
      <c r="E72" s="39">
        <f t="shared" ref="E72:E79" si="18">+SUM(M72:Y72)</f>
        <v>0</v>
      </c>
      <c r="F72" s="39"/>
      <c r="G72" s="39">
        <f ca="1">SUM('12-2013 Ret Emp'!I94)</f>
        <v>59999.639027162579</v>
      </c>
      <c r="H72" s="7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74"/>
      <c r="AA72" s="61">
        <f ca="1">SUM('AC-SVC'!C72)*AA7</f>
        <v>13490.707155629145</v>
      </c>
      <c r="AB72" s="61">
        <f ca="1">SUM('AC-SVC'!D72)</f>
        <v>0</v>
      </c>
      <c r="AC72" s="61">
        <f ca="1">SUM('AC-SVC'!E72)</f>
        <v>0</v>
      </c>
      <c r="AD72" s="61">
        <f ca="1">SUM('AC-SVC'!F72)</f>
        <v>0</v>
      </c>
      <c r="AE72" s="61">
        <f ca="1">SUM('AC-SVC'!G72)</f>
        <v>0</v>
      </c>
      <c r="AF72" s="61">
        <f ca="1">SUM('AC-SVC'!H72)*AF7</f>
        <v>13750</v>
      </c>
      <c r="AG72" s="61">
        <f ca="1">SUM(PT!D72)</f>
        <v>0</v>
      </c>
      <c r="AH72" s="61">
        <f ca="1">SUM(CCLC!D72)</f>
        <v>0</v>
      </c>
      <c r="AI72" s="61">
        <f ca="1">SUM(FC!E72)</f>
        <v>0</v>
      </c>
      <c r="AJ72" s="61">
        <v>0</v>
      </c>
      <c r="AK72" s="61">
        <f ca="1">SUM(FS!E72)</f>
        <v>0</v>
      </c>
      <c r="AL72" s="61">
        <f ca="1">SUM(IT!E72)</f>
        <v>0</v>
      </c>
      <c r="AM72" s="74"/>
      <c r="AN72" s="67">
        <f t="shared" ref="AN72:AN79" si="19">SUM(C72:G72)+SUM(AA72:AL72)</f>
        <v>87240.34618279172</v>
      </c>
    </row>
    <row r="73" spans="1:40">
      <c r="A73" s="10" t="s">
        <v>12</v>
      </c>
      <c r="B73" s="10" t="s">
        <v>315</v>
      </c>
      <c r="C73" s="39"/>
      <c r="D73" s="39">
        <f t="shared" si="17"/>
        <v>160736.83319687497</v>
      </c>
      <c r="E73" s="39">
        <f t="shared" si="18"/>
        <v>282506.56695260585</v>
      </c>
      <c r="F73" s="39"/>
      <c r="G73" s="39"/>
      <c r="H73" s="78"/>
      <c r="I73" s="54">
        <f ca="1">SUM('12-2013 Ret Emp'!I89)</f>
        <v>33571.988999999994</v>
      </c>
      <c r="J73" s="54">
        <f ca="1">SUM('12-2013 Ret Emp'!I90)</f>
        <v>41365.522687499993</v>
      </c>
      <c r="K73" s="54">
        <f ca="1">SUM('12-2013 Ret Emp'!I91)</f>
        <v>43399.660754687487</v>
      </c>
      <c r="L73" s="54">
        <f ca="1">+'AC-SCH'!D43</f>
        <v>42399.660754687487</v>
      </c>
      <c r="M73" s="54">
        <f ca="1">+'AC-SCH'!D43</f>
        <v>42399.660754687487</v>
      </c>
      <c r="N73" s="54">
        <f ca="1">+'AC-SCH'!D43</f>
        <v>42399.660754687487</v>
      </c>
      <c r="O73" s="54">
        <f ca="1">+'AC-SCH'!D45</f>
        <v>44546.143580393531</v>
      </c>
      <c r="P73" s="54">
        <f ca="1">+'AC-SCH'!D43</f>
        <v>42399.660754687487</v>
      </c>
      <c r="Q73" s="54">
        <f ca="1">+'AC-SCH'!$D43*Q7</f>
        <v>0</v>
      </c>
      <c r="R73" s="54">
        <f ca="1">+'AC-SCH'!$D43*R7</f>
        <v>0</v>
      </c>
      <c r="S73" s="54">
        <f ca="1">+'AC-SCH'!D45*S7</f>
        <v>0</v>
      </c>
      <c r="T73" s="54">
        <f ca="1">SUM('AC-SCH'!D165)*T7</f>
        <v>0</v>
      </c>
      <c r="U73" s="54">
        <f ca="1">SUM('12-2013 Ret Emp'!I88)</f>
        <v>41365.522687499993</v>
      </c>
      <c r="V73" s="54">
        <v>0</v>
      </c>
      <c r="W73" s="54">
        <f ca="1">+'AC-SCH'!$D43*W7</f>
        <v>21199.830377343744</v>
      </c>
      <c r="X73" s="54">
        <f ca="1">SUM('AC-SCH'!D165)*X7</f>
        <v>17205.644362499996</v>
      </c>
      <c r="Y73" s="54">
        <f ca="1">SUM('12-2013 Ret Emp'!I92)</f>
        <v>30990.443680806125</v>
      </c>
      <c r="Z73" s="74"/>
      <c r="AA73" s="61">
        <f ca="1">SUM('AC-SVC'!C73)*AA7</f>
        <v>2500</v>
      </c>
      <c r="AB73" s="61">
        <f ca="1">SUM('AC-SVC'!D73)</f>
        <v>0</v>
      </c>
      <c r="AC73" s="61">
        <f ca="1">SUM('AC-SVC'!E73)</f>
        <v>0</v>
      </c>
      <c r="AD73" s="61">
        <f ca="1">SUM('AC-SVC'!F73)</f>
        <v>0</v>
      </c>
      <c r="AE73" s="61">
        <f ca="1">SUM('AC-SVC'!G73)*0.5*AE7</f>
        <v>8110.6938000000009</v>
      </c>
      <c r="AF73" s="61">
        <f ca="1">SUM('AC-SVC'!H73)*0.5*AF7</f>
        <v>0</v>
      </c>
      <c r="AG73" s="61">
        <f ca="1">SUM(PT!D73)</f>
        <v>19022.04</v>
      </c>
      <c r="AH73" s="61">
        <f ca="1">SUM(CCLC!D73)*AH7</f>
        <v>27878.78787878788</v>
      </c>
      <c r="AI73" s="61">
        <f ca="1">SUM(FC!E73)</f>
        <v>0</v>
      </c>
      <c r="AJ73" s="61">
        <v>0</v>
      </c>
      <c r="AK73" s="61">
        <f ca="1">SUM(FS!E73)</f>
        <v>0</v>
      </c>
      <c r="AL73" s="61">
        <f ca="1">SUM(IT!E73)</f>
        <v>0</v>
      </c>
      <c r="AM73" s="74"/>
      <c r="AN73" s="67">
        <f t="shared" si="19"/>
        <v>500754.92182826868</v>
      </c>
    </row>
    <row r="74" spans="1:40">
      <c r="A74" s="10" t="s">
        <v>13</v>
      </c>
      <c r="B74" s="10" t="s">
        <v>316</v>
      </c>
      <c r="C74" s="39"/>
      <c r="D74" s="39">
        <f t="shared" si="17"/>
        <v>66181.181219999999</v>
      </c>
      <c r="E74" s="39">
        <f t="shared" si="18"/>
        <v>84823.2</v>
      </c>
      <c r="F74" s="39"/>
      <c r="G74" s="39"/>
      <c r="H74" s="78"/>
      <c r="I74" s="39">
        <f ca="1">+'AC-SCH'!D81</f>
        <v>21841.973999999998</v>
      </c>
      <c r="J74" s="39">
        <f ca="1">+'AC-SCH'!D81</f>
        <v>21841.973999999998</v>
      </c>
      <c r="K74" s="39">
        <f ca="1">SUM('12-2013 Ret Emp'!I87)</f>
        <v>22497.233219999998</v>
      </c>
      <c r="L74" s="39">
        <f ca="1">+'AC-SCH'!D81*0</f>
        <v>0</v>
      </c>
      <c r="M74" s="39">
        <f ca="1">+'AC-SCH'!D80</f>
        <v>21205.8</v>
      </c>
      <c r="N74" s="39">
        <f ca="1">+'AC-SCH'!D80</f>
        <v>21205.8</v>
      </c>
      <c r="O74" s="39">
        <f ca="1">+'AC-SCH'!D80</f>
        <v>21205.8</v>
      </c>
      <c r="P74" s="39">
        <f ca="1">+'AC-SCH'!D80</f>
        <v>21205.8</v>
      </c>
      <c r="Q74" s="39">
        <f ca="1">+'AC-SCH'!D80*0</f>
        <v>0</v>
      </c>
      <c r="R74" s="39"/>
      <c r="S74" s="39">
        <f ca="1">+'AC-SCH'!D80*0</f>
        <v>0</v>
      </c>
      <c r="T74" s="39"/>
      <c r="U74" s="39"/>
      <c r="V74" s="39"/>
      <c r="W74" s="39"/>
      <c r="X74" s="39"/>
      <c r="Y74" s="39"/>
      <c r="Z74" s="74"/>
      <c r="AA74" s="61">
        <f ca="1">SUM('AC-SVC'!C74)</f>
        <v>0</v>
      </c>
      <c r="AB74" s="61">
        <f ca="1">SUM('AC-SVC'!D74)</f>
        <v>0</v>
      </c>
      <c r="AC74" s="61">
        <f ca="1">SUM('AC-SVC'!E74)</f>
        <v>0</v>
      </c>
      <c r="AD74" s="61">
        <f ca="1">SUM('AC-SVC'!F74)</f>
        <v>0</v>
      </c>
      <c r="AE74" s="61">
        <f ca="1">SUM('AC-SVC'!G74)</f>
        <v>0</v>
      </c>
      <c r="AF74" s="61">
        <f ca="1">SUM('AC-SVC'!H74)</f>
        <v>0</v>
      </c>
      <c r="AG74" s="61">
        <f ca="1">SUM(PT!D74)</f>
        <v>0</v>
      </c>
      <c r="AH74" s="61">
        <f ca="1">SUM(CCLC!D74)</f>
        <v>0</v>
      </c>
      <c r="AI74" s="61">
        <f ca="1">SUM(FC!E74)</f>
        <v>0</v>
      </c>
      <c r="AJ74" s="61">
        <v>0</v>
      </c>
      <c r="AK74" s="61">
        <f ca="1">SUM(FS!E74)</f>
        <v>0</v>
      </c>
      <c r="AL74" s="61">
        <f ca="1">SUM(IT!E74)</f>
        <v>0</v>
      </c>
      <c r="AM74" s="74"/>
      <c r="AN74" s="67">
        <f t="shared" si="19"/>
        <v>151004.38121999998</v>
      </c>
    </row>
    <row r="75" spans="1:40">
      <c r="A75" s="10" t="s">
        <v>14</v>
      </c>
      <c r="B75" s="10" t="s">
        <v>317</v>
      </c>
      <c r="C75" s="39"/>
      <c r="D75" s="39">
        <f t="shared" si="17"/>
        <v>0</v>
      </c>
      <c r="E75" s="39">
        <f t="shared" si="18"/>
        <v>0</v>
      </c>
      <c r="F75" s="39"/>
      <c r="G75" s="39"/>
      <c r="H75" s="7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74"/>
      <c r="AA75" s="61">
        <f ca="1">SUM('AC-SVC'!C75)</f>
        <v>0</v>
      </c>
      <c r="AB75" s="61">
        <f ca="1">SUM('AC-SVC'!D75)*0.5*AB7</f>
        <v>26386.546449401012</v>
      </c>
      <c r="AC75" s="61">
        <f ca="1">SUM('AC-SVC'!E75)*0.5*AC7</f>
        <v>22669.644250000001</v>
      </c>
      <c r="AD75" s="61">
        <f ca="1">SUM('AC-SVC'!F75)</f>
        <v>0</v>
      </c>
      <c r="AE75" s="61">
        <f ca="1">SUM('AC-SVC'!G75)</f>
        <v>0</v>
      </c>
      <c r="AF75" s="61">
        <f ca="1">SUM('AC-SVC'!H75)</f>
        <v>0</v>
      </c>
      <c r="AG75" s="61">
        <f ca="1">SUM(PT!D75)</f>
        <v>0</v>
      </c>
      <c r="AH75" s="61">
        <f ca="1">SUM(CCLC!D75)</f>
        <v>0</v>
      </c>
      <c r="AI75" s="61">
        <f ca="1">SUM(FC!E75)</f>
        <v>0</v>
      </c>
      <c r="AJ75" s="61">
        <v>0</v>
      </c>
      <c r="AK75" s="61">
        <f ca="1">SUM(FS!E75)</f>
        <v>0</v>
      </c>
      <c r="AL75" s="61">
        <f ca="1">SUM(IT!E75)</f>
        <v>0</v>
      </c>
      <c r="AM75" s="74"/>
      <c r="AN75" s="67">
        <f t="shared" si="19"/>
        <v>49056.190699401013</v>
      </c>
    </row>
    <row r="76" spans="1:40">
      <c r="A76" s="10" t="s">
        <v>15</v>
      </c>
      <c r="B76" s="10" t="s">
        <v>318</v>
      </c>
      <c r="C76" s="39"/>
      <c r="D76" s="39">
        <f t="shared" si="17"/>
        <v>0</v>
      </c>
      <c r="E76" s="39">
        <f t="shared" si="18"/>
        <v>0</v>
      </c>
      <c r="F76" s="39"/>
      <c r="G76" s="39"/>
      <c r="H76" s="7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74"/>
      <c r="AA76" s="61">
        <f ca="1">SUM('AC-SVC'!C76)</f>
        <v>0</v>
      </c>
      <c r="AB76" s="61">
        <f ca="1">SUM('AC-SVC'!D76)</f>
        <v>0</v>
      </c>
      <c r="AC76" s="61">
        <f ca="1">SUM('AC-SVC'!E76)</f>
        <v>0</v>
      </c>
      <c r="AD76" s="61">
        <f ca="1">SUM('AC-SVC'!F76)*0.5*AD7</f>
        <v>26381.717308648829</v>
      </c>
      <c r="AE76" s="61">
        <f ca="1">SUM('AC-SVC'!G76)</f>
        <v>0</v>
      </c>
      <c r="AF76" s="61">
        <f ca="1">SUM('AC-SVC'!H76)</f>
        <v>0</v>
      </c>
      <c r="AG76" s="61">
        <f ca="1">SUM(PT!D76)</f>
        <v>0</v>
      </c>
      <c r="AH76" s="61">
        <f ca="1">SUM(CCLC!D76)</f>
        <v>0</v>
      </c>
      <c r="AI76" s="61">
        <f ca="1">SUM(FC!E76)</f>
        <v>0</v>
      </c>
      <c r="AJ76" s="61">
        <v>0</v>
      </c>
      <c r="AK76" s="61">
        <f ca="1">SUM(FS!E76)</f>
        <v>0</v>
      </c>
      <c r="AL76" s="61">
        <f ca="1">SUM(IT!E76)</f>
        <v>10902.972668791499</v>
      </c>
      <c r="AM76" s="74"/>
      <c r="AN76" s="67">
        <f t="shared" si="19"/>
        <v>37284.689977440328</v>
      </c>
    </row>
    <row r="77" spans="1:40">
      <c r="A77" s="10" t="s">
        <v>16</v>
      </c>
      <c r="B77" s="10" t="s">
        <v>319</v>
      </c>
      <c r="C77" s="39"/>
      <c r="D77" s="39">
        <f t="shared" si="17"/>
        <v>0</v>
      </c>
      <c r="E77" s="39">
        <f t="shared" si="18"/>
        <v>0</v>
      </c>
      <c r="F77" s="54">
        <f ca="1">SUM('12-2013 Ret Emp'!I93)</f>
        <v>34889.634935594018</v>
      </c>
      <c r="G77" s="39"/>
      <c r="H77" s="7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74"/>
      <c r="AA77" s="61">
        <f ca="1">SUM('AC-SVC'!C77)</f>
        <v>0</v>
      </c>
      <c r="AB77" s="61">
        <f ca="1">SUM('AC-SVC'!D77)</f>
        <v>0</v>
      </c>
      <c r="AC77" s="61">
        <f ca="1">SUM('AC-SVC'!E77)</f>
        <v>0</v>
      </c>
      <c r="AD77" s="61">
        <f ca="1">SUM('AC-SVC'!F77)</f>
        <v>0</v>
      </c>
      <c r="AE77" s="61">
        <f ca="1">SUM('AC-SVC'!G77)</f>
        <v>0</v>
      </c>
      <c r="AF77" s="61">
        <f ca="1">SUM('AC-SVC'!H77)</f>
        <v>0</v>
      </c>
      <c r="AG77" s="61">
        <f ca="1">SUM(PT!D77)</f>
        <v>0</v>
      </c>
      <c r="AH77" s="61">
        <f ca="1">SUM(CCLC!D77)</f>
        <v>0</v>
      </c>
      <c r="AI77" s="61">
        <f ca="1">SUM(FC!E77)</f>
        <v>0</v>
      </c>
      <c r="AJ77" s="61">
        <v>0</v>
      </c>
      <c r="AK77" s="61">
        <f ca="1">SUM(FS!E77)</f>
        <v>0</v>
      </c>
      <c r="AL77" s="61">
        <f ca="1">SUM(IT!E77)</f>
        <v>0</v>
      </c>
      <c r="AM77" s="74"/>
      <c r="AN77" s="67">
        <f t="shared" si="19"/>
        <v>34889.634935594018</v>
      </c>
    </row>
    <row r="78" spans="1:40">
      <c r="A78" s="10" t="s">
        <v>17</v>
      </c>
      <c r="B78" s="10" t="s">
        <v>320</v>
      </c>
      <c r="C78" s="39"/>
      <c r="D78" s="39">
        <f t="shared" si="17"/>
        <v>0</v>
      </c>
      <c r="E78" s="39">
        <f t="shared" si="18"/>
        <v>0</v>
      </c>
      <c r="F78" s="39"/>
      <c r="G78" s="39"/>
      <c r="H78" s="7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74"/>
      <c r="AA78" s="61">
        <f ca="1">SUM('AC-SVC'!C78)</f>
        <v>0</v>
      </c>
      <c r="AB78" s="61">
        <f ca="1">SUM('AC-SVC'!D78)</f>
        <v>0</v>
      </c>
      <c r="AC78" s="61">
        <f ca="1">SUM('AC-SVC'!E78)</f>
        <v>0</v>
      </c>
      <c r="AD78" s="61">
        <f ca="1">SUM('AC-SVC'!F78)</f>
        <v>0</v>
      </c>
      <c r="AE78" s="61">
        <f ca="1">SUM('AC-SVC'!G78)</f>
        <v>0</v>
      </c>
      <c r="AF78" s="61">
        <f ca="1">SUM('AC-SVC'!H78)</f>
        <v>0</v>
      </c>
      <c r="AG78" s="61">
        <f ca="1">SUM(PT!D78)</f>
        <v>0</v>
      </c>
      <c r="AH78" s="61">
        <f ca="1">SUM(CCLC!D78)</f>
        <v>0</v>
      </c>
      <c r="AI78" s="61">
        <f ca="1">SUM(FC!E78)</f>
        <v>17149.5</v>
      </c>
      <c r="AJ78" s="61">
        <v>0</v>
      </c>
      <c r="AK78" s="61">
        <f ca="1">SUM(FS!E78)</f>
        <v>42009.786000000007</v>
      </c>
      <c r="AL78" s="61">
        <f ca="1">SUM(IT!E78)</f>
        <v>0</v>
      </c>
      <c r="AM78" s="74"/>
      <c r="AN78" s="67">
        <f t="shared" si="19"/>
        <v>59159.286000000007</v>
      </c>
    </row>
    <row r="79" spans="1:40" ht="14.25" customHeight="1">
      <c r="A79" s="10" t="s">
        <v>18</v>
      </c>
      <c r="B79" s="10" t="s">
        <v>322</v>
      </c>
      <c r="C79" s="40"/>
      <c r="D79" s="40">
        <f t="shared" si="17"/>
        <v>0</v>
      </c>
      <c r="E79" s="40">
        <f t="shared" si="18"/>
        <v>0</v>
      </c>
      <c r="F79" s="40"/>
      <c r="G79" s="40"/>
      <c r="H79" s="8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74"/>
      <c r="AA79" s="40">
        <f ca="1">SUM('AC-SVC'!C79)</f>
        <v>0</v>
      </c>
      <c r="AB79" s="40">
        <f ca="1">SUM('AC-SVC'!D79)</f>
        <v>0</v>
      </c>
      <c r="AC79" s="40">
        <f ca="1">SUM('AC-SVC'!E79)</f>
        <v>0</v>
      </c>
      <c r="AD79" s="40">
        <f ca="1">SUM('AC-SVC'!F79)</f>
        <v>0</v>
      </c>
      <c r="AE79" s="40">
        <f ca="1">SUM('AC-SVC'!G79)</f>
        <v>0</v>
      </c>
      <c r="AF79" s="40">
        <f ca="1">SUM('AC-SVC'!H79)</f>
        <v>0</v>
      </c>
      <c r="AG79" s="40">
        <f ca="1">SUM(PT!D79)</f>
        <v>0</v>
      </c>
      <c r="AH79" s="40">
        <f ca="1">SUM(CCLC!D79)</f>
        <v>0</v>
      </c>
      <c r="AI79" s="40">
        <f ca="1">SUM(FC!E79)</f>
        <v>27058.512000000002</v>
      </c>
      <c r="AJ79" s="40">
        <v>0</v>
      </c>
      <c r="AK79" s="40">
        <f ca="1">SUM(FS!E79)</f>
        <v>0</v>
      </c>
      <c r="AL79" s="40">
        <f ca="1">SUM(IT!E79)</f>
        <v>0</v>
      </c>
      <c r="AM79" s="74"/>
      <c r="AN79" s="66">
        <f t="shared" si="19"/>
        <v>27058.512000000002</v>
      </c>
    </row>
    <row r="80" spans="1:40">
      <c r="B80" s="10" t="s">
        <v>24</v>
      </c>
      <c r="C80" s="39">
        <f>SUM(C72:C79)</f>
        <v>0</v>
      </c>
      <c r="D80" s="39">
        <f>SUM(D72:D79)</f>
        <v>226918.01441687497</v>
      </c>
      <c r="E80" s="39">
        <f>SUM(E72:E79)</f>
        <v>367329.76695260586</v>
      </c>
      <c r="F80" s="39">
        <f>SUM(F72:F79)</f>
        <v>34889.634935594018</v>
      </c>
      <c r="G80" s="39">
        <f>SUM(G72:G79)</f>
        <v>59999.639027162579</v>
      </c>
      <c r="H80" s="78"/>
      <c r="I80" s="39">
        <f t="shared" ref="I80:Y80" si="20">SUM(I72:I79)</f>
        <v>55413.962999999989</v>
      </c>
      <c r="J80" s="39">
        <f t="shared" si="20"/>
        <v>63207.496687499995</v>
      </c>
      <c r="K80" s="39">
        <f t="shared" si="20"/>
        <v>65896.893974687482</v>
      </c>
      <c r="L80" s="39">
        <f t="shared" si="20"/>
        <v>42399.660754687487</v>
      </c>
      <c r="M80" s="39">
        <f t="shared" si="20"/>
        <v>63605.46075468749</v>
      </c>
      <c r="N80" s="39">
        <f t="shared" si="20"/>
        <v>63605.46075468749</v>
      </c>
      <c r="O80" s="39">
        <f t="shared" si="20"/>
        <v>65751.943580393534</v>
      </c>
      <c r="P80" s="39">
        <f t="shared" si="20"/>
        <v>63605.46075468749</v>
      </c>
      <c r="Q80" s="39">
        <f t="shared" si="20"/>
        <v>0</v>
      </c>
      <c r="R80" s="39">
        <f t="shared" si="20"/>
        <v>0</v>
      </c>
      <c r="S80" s="39">
        <f t="shared" si="20"/>
        <v>0</v>
      </c>
      <c r="T80" s="39">
        <f t="shared" si="20"/>
        <v>0</v>
      </c>
      <c r="U80" s="39">
        <f t="shared" si="20"/>
        <v>41365.522687499993</v>
      </c>
      <c r="V80" s="39">
        <f t="shared" si="20"/>
        <v>0</v>
      </c>
      <c r="W80" s="39">
        <f t="shared" si="20"/>
        <v>21199.830377343744</v>
      </c>
      <c r="X80" s="39">
        <f t="shared" si="20"/>
        <v>17205.644362499996</v>
      </c>
      <c r="Y80" s="39">
        <f t="shared" si="20"/>
        <v>30990.443680806125</v>
      </c>
      <c r="Z80" s="74"/>
      <c r="AA80" s="54">
        <f t="shared" ref="AA80:AF80" si="21">SUM(AA72:AA79)</f>
        <v>15990.707155629145</v>
      </c>
      <c r="AB80" s="54">
        <f t="shared" si="21"/>
        <v>26386.546449401012</v>
      </c>
      <c r="AC80" s="54">
        <f t="shared" si="21"/>
        <v>22669.644250000001</v>
      </c>
      <c r="AD80" s="54">
        <f t="shared" si="21"/>
        <v>26381.717308648829</v>
      </c>
      <c r="AE80" s="54">
        <f t="shared" si="21"/>
        <v>8110.6938000000009</v>
      </c>
      <c r="AF80" s="54">
        <f t="shared" si="21"/>
        <v>13750</v>
      </c>
      <c r="AG80" s="39">
        <f t="shared" ref="AG80:AL80" si="22">+SUM(AG72:AG79)</f>
        <v>19022.04</v>
      </c>
      <c r="AH80" s="39">
        <f t="shared" si="22"/>
        <v>27878.78787878788</v>
      </c>
      <c r="AI80" s="39">
        <f t="shared" si="22"/>
        <v>44208.012000000002</v>
      </c>
      <c r="AJ80" s="39">
        <f t="shared" si="22"/>
        <v>0</v>
      </c>
      <c r="AK80" s="39">
        <f t="shared" si="22"/>
        <v>42009.786000000007</v>
      </c>
      <c r="AL80" s="39">
        <f t="shared" si="22"/>
        <v>10902.972668791499</v>
      </c>
      <c r="AM80" s="74"/>
      <c r="AN80" s="57">
        <f>SUM(AN72:AN79)</f>
        <v>946447.96284349565</v>
      </c>
    </row>
    <row r="81" spans="1:40">
      <c r="C81" s="39"/>
      <c r="D81" s="39"/>
      <c r="E81" s="39"/>
      <c r="F81" s="39"/>
      <c r="G81" s="39"/>
      <c r="H81" s="7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74"/>
      <c r="AA81" s="39"/>
      <c r="AB81" s="54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74"/>
      <c r="AN81" s="57"/>
    </row>
    <row r="82" spans="1:40">
      <c r="C82" s="39"/>
      <c r="D82" s="39"/>
      <c r="E82" s="39"/>
      <c r="F82" s="39"/>
      <c r="G82" s="39"/>
      <c r="H82" s="7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74"/>
      <c r="AA82" s="39"/>
      <c r="AB82" s="54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74"/>
      <c r="AN82" s="57"/>
    </row>
    <row r="83" spans="1:40">
      <c r="A83" s="10" t="s">
        <v>325</v>
      </c>
      <c r="C83" s="39"/>
      <c r="D83" s="39"/>
      <c r="E83" s="39"/>
      <c r="F83" s="39"/>
      <c r="G83" s="39"/>
      <c r="H83" s="7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74"/>
      <c r="AA83" s="39"/>
      <c r="AB83" s="54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74"/>
      <c r="AN83" s="57"/>
    </row>
    <row r="84" spans="1:40">
      <c r="A84" s="10" t="s">
        <v>20</v>
      </c>
      <c r="B84" s="10" t="s">
        <v>324</v>
      </c>
      <c r="C84" s="39"/>
      <c r="D84" s="39">
        <f>SUM(I84:L84)</f>
        <v>1120</v>
      </c>
      <c r="E84" s="39">
        <f>+SUM(M84:Y84)</f>
        <v>1960</v>
      </c>
      <c r="F84" s="39"/>
      <c r="G84" s="39"/>
      <c r="H84" s="78"/>
      <c r="I84" s="39">
        <f t="shared" ref="I84:O84" si="23">40*7</f>
        <v>280</v>
      </c>
      <c r="J84" s="39">
        <f t="shared" si="23"/>
        <v>280</v>
      </c>
      <c r="K84" s="39">
        <f t="shared" si="23"/>
        <v>280</v>
      </c>
      <c r="L84" s="39">
        <f t="shared" si="23"/>
        <v>280</v>
      </c>
      <c r="M84" s="39">
        <f t="shared" si="23"/>
        <v>280</v>
      </c>
      <c r="N84" s="39">
        <f t="shared" si="23"/>
        <v>280</v>
      </c>
      <c r="O84" s="39">
        <f t="shared" si="23"/>
        <v>280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f>40*7</f>
        <v>280</v>
      </c>
      <c r="V84" s="39"/>
      <c r="W84" s="39">
        <f>40*7</f>
        <v>280</v>
      </c>
      <c r="X84" s="39">
        <f>40*7</f>
        <v>280</v>
      </c>
      <c r="Y84" s="39">
        <f>40*7</f>
        <v>280</v>
      </c>
      <c r="Z84" s="74"/>
      <c r="AA84" s="61">
        <f ca="1">SUM('AC-SVC'!C84)</f>
        <v>0</v>
      </c>
      <c r="AB84" s="61">
        <f ca="1">SUM('AC-SVC'!D84)</f>
        <v>0</v>
      </c>
      <c r="AC84" s="61">
        <f ca="1">SUM('AC-SVC'!E84)</f>
        <v>0</v>
      </c>
      <c r="AD84" s="61">
        <f ca="1">SUM('AC-SVC'!F84)</f>
        <v>0</v>
      </c>
      <c r="AE84" s="61">
        <f ca="1">SUM('AC-SVC'!G84)</f>
        <v>0</v>
      </c>
      <c r="AF84" s="61">
        <f ca="1">SUM('AC-SVC'!H84)</f>
        <v>0</v>
      </c>
      <c r="AG84" s="61">
        <f ca="1">SUM(PT!D84)</f>
        <v>0</v>
      </c>
      <c r="AH84" s="61">
        <f ca="1">SUM(CCLC!D84)</f>
        <v>0</v>
      </c>
      <c r="AI84" s="61">
        <f ca="1">SUM(FC!E84)</f>
        <v>0</v>
      </c>
      <c r="AJ84" s="61">
        <v>0</v>
      </c>
      <c r="AK84" s="61">
        <f ca="1">SUM(FS!E84)</f>
        <v>1260</v>
      </c>
      <c r="AL84" s="61">
        <f ca="1">SUM(IT!E84)</f>
        <v>0</v>
      </c>
      <c r="AM84" s="74"/>
      <c r="AN84" s="67">
        <f>SUM(C84:G84)+SUM(AA84:AL84)</f>
        <v>4340</v>
      </c>
    </row>
    <row r="85" spans="1:40">
      <c r="A85" s="10" t="s">
        <v>21</v>
      </c>
      <c r="B85" s="10" t="s">
        <v>325</v>
      </c>
      <c r="C85" s="39"/>
      <c r="D85" s="39">
        <f>SUM(I85:L85)</f>
        <v>0</v>
      </c>
      <c r="E85" s="39">
        <f>+SUM(M85:Y85)</f>
        <v>0</v>
      </c>
      <c r="F85" s="54">
        <f>20000</f>
        <v>20000</v>
      </c>
      <c r="G85" s="39"/>
      <c r="H85" s="7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74"/>
      <c r="AA85" s="61">
        <f ca="1">SUM('AC-SVC'!C85)</f>
        <v>0</v>
      </c>
      <c r="AB85" s="61">
        <f ca="1">SUM('AC-SVC'!D85)</f>
        <v>0</v>
      </c>
      <c r="AC85" s="61">
        <f ca="1">SUM('AC-SVC'!E85)</f>
        <v>0</v>
      </c>
      <c r="AD85" s="61">
        <f ca="1">SUM('AC-SVC'!F85)</f>
        <v>0</v>
      </c>
      <c r="AE85" s="61">
        <f ca="1">SUM('AC-SVC'!G85)</f>
        <v>0</v>
      </c>
      <c r="AF85" s="61">
        <f ca="1">SUM('AC-SVC'!H85)</f>
        <v>0</v>
      </c>
      <c r="AG85" s="61">
        <f ca="1">SUM(PT!D85)</f>
        <v>0</v>
      </c>
      <c r="AH85" s="61">
        <f ca="1">SUM(CCLC!D85)</f>
        <v>0</v>
      </c>
      <c r="AI85" s="61">
        <f ca="1">SUM(FC!E85)</f>
        <v>4000</v>
      </c>
      <c r="AJ85" s="61">
        <v>0</v>
      </c>
      <c r="AK85" s="61">
        <f ca="1">SUM(FS!E85)</f>
        <v>0</v>
      </c>
      <c r="AL85" s="61">
        <f ca="1">SUM(IT!E85)</f>
        <v>0</v>
      </c>
      <c r="AM85" s="74"/>
      <c r="AN85" s="67">
        <f>SUM(C85:G85)+SUM(AA85:AL85)</f>
        <v>24000</v>
      </c>
    </row>
    <row r="86" spans="1:40">
      <c r="A86" s="10" t="s">
        <v>440</v>
      </c>
      <c r="B86" s="10" t="s">
        <v>441</v>
      </c>
      <c r="C86" s="39"/>
      <c r="D86" s="39"/>
      <c r="E86" s="39"/>
      <c r="F86" s="39"/>
      <c r="G86" s="39"/>
      <c r="H86" s="7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74"/>
      <c r="AA86" s="61">
        <f ca="1">SUM('AC-SVC'!C86)</f>
        <v>0</v>
      </c>
      <c r="AB86" s="61">
        <f ca="1">SUM('AC-SVC'!D86)</f>
        <v>0</v>
      </c>
      <c r="AC86" s="61">
        <f ca="1">SUM('AC-SVC'!E86)</f>
        <v>0</v>
      </c>
      <c r="AD86" s="61">
        <f ca="1">SUM('AC-SVC'!F86)</f>
        <v>0</v>
      </c>
      <c r="AE86" s="61">
        <f ca="1">SUM('AC-SVC'!G86)</f>
        <v>0</v>
      </c>
      <c r="AF86" s="61">
        <f ca="1">SUM('AC-SVC'!H86)</f>
        <v>0</v>
      </c>
      <c r="AG86" s="61">
        <f ca="1">SUM(PT!D86)</f>
        <v>0</v>
      </c>
      <c r="AH86" s="61">
        <f ca="1">SUM(CCLC!D86)</f>
        <v>0</v>
      </c>
      <c r="AI86" s="61">
        <f ca="1">SUM(FC!E86)</f>
        <v>0</v>
      </c>
      <c r="AJ86" s="61">
        <v>0</v>
      </c>
      <c r="AK86" s="61">
        <f ca="1">SUM(FS!E86)</f>
        <v>0</v>
      </c>
      <c r="AL86" s="61">
        <f ca="1">SUM(IT!E86)</f>
        <v>0</v>
      </c>
      <c r="AM86" s="74"/>
      <c r="AN86" s="67">
        <f>SUM(C86:G86)+SUM(AA86:AL86)</f>
        <v>0</v>
      </c>
    </row>
    <row r="87" spans="1:40">
      <c r="A87" s="10" t="s">
        <v>22</v>
      </c>
      <c r="B87" s="10" t="s">
        <v>23</v>
      </c>
      <c r="C87" s="40"/>
      <c r="D87" s="40">
        <f>SUM(I87:L87)</f>
        <v>0</v>
      </c>
      <c r="E87" s="40">
        <f>+SUM(M87:Y87)</f>
        <v>0</v>
      </c>
      <c r="F87" s="40"/>
      <c r="G87" s="40"/>
      <c r="H87" s="8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74"/>
      <c r="AA87" s="40">
        <f ca="1">SUM('AC-SVC'!C87)</f>
        <v>0</v>
      </c>
      <c r="AB87" s="40">
        <f ca="1">SUM('AC-SVC'!D87)</f>
        <v>0</v>
      </c>
      <c r="AC87" s="40">
        <f ca="1">SUM('AC-SVC'!E87)</f>
        <v>0</v>
      </c>
      <c r="AD87" s="40">
        <f ca="1">SUM('AC-SVC'!F87)</f>
        <v>0</v>
      </c>
      <c r="AE87" s="40">
        <f ca="1">SUM('AC-SVC'!G87)</f>
        <v>0</v>
      </c>
      <c r="AF87" s="40">
        <f ca="1">SUM('AC-SVC'!H87)</f>
        <v>0</v>
      </c>
      <c r="AG87" s="40">
        <f ca="1">SUM(PT!D87)</f>
        <v>0</v>
      </c>
      <c r="AH87" s="40">
        <f ca="1">SUM(CCLC!D87)</f>
        <v>0</v>
      </c>
      <c r="AI87" s="40">
        <f ca="1">SUM(FC!E87)</f>
        <v>0</v>
      </c>
      <c r="AJ87" s="40">
        <v>0</v>
      </c>
      <c r="AK87" s="40">
        <f ca="1">SUM(FS!E87)</f>
        <v>0</v>
      </c>
      <c r="AL87" s="40">
        <f ca="1">SUM(IT!E87)</f>
        <v>0</v>
      </c>
      <c r="AM87" s="74"/>
      <c r="AN87" s="66">
        <f>SUM(C87:G87)+SUM(AA87:AL87)</f>
        <v>0</v>
      </c>
    </row>
    <row r="88" spans="1:40">
      <c r="B88" s="10" t="s">
        <v>326</v>
      </c>
      <c r="C88" s="39">
        <f>SUM(C84:C87)</f>
        <v>0</v>
      </c>
      <c r="D88" s="39">
        <f>SUM(D84:D87)</f>
        <v>1120</v>
      </c>
      <c r="E88" s="39">
        <f>SUM(E84:E87)</f>
        <v>1960</v>
      </c>
      <c r="F88" s="39">
        <f>SUM(F84:F87)</f>
        <v>20000</v>
      </c>
      <c r="G88" s="39">
        <f>SUM(G84:G87)</f>
        <v>0</v>
      </c>
      <c r="H88" s="78"/>
      <c r="I88" s="39">
        <f t="shared" ref="I88:Y88" si="24">SUM(I84:I87)</f>
        <v>280</v>
      </c>
      <c r="J88" s="39">
        <f t="shared" si="24"/>
        <v>280</v>
      </c>
      <c r="K88" s="39">
        <f t="shared" si="24"/>
        <v>280</v>
      </c>
      <c r="L88" s="39">
        <f t="shared" si="24"/>
        <v>280</v>
      </c>
      <c r="M88" s="39">
        <f t="shared" si="24"/>
        <v>280</v>
      </c>
      <c r="N88" s="39">
        <f t="shared" si="24"/>
        <v>280</v>
      </c>
      <c r="O88" s="39">
        <f t="shared" si="24"/>
        <v>280</v>
      </c>
      <c r="P88" s="39">
        <f t="shared" si="24"/>
        <v>0</v>
      </c>
      <c r="Q88" s="39">
        <f t="shared" si="24"/>
        <v>0</v>
      </c>
      <c r="R88" s="39">
        <f t="shared" si="24"/>
        <v>0</v>
      </c>
      <c r="S88" s="39">
        <f t="shared" si="24"/>
        <v>0</v>
      </c>
      <c r="T88" s="39">
        <f t="shared" si="24"/>
        <v>0</v>
      </c>
      <c r="U88" s="39">
        <f t="shared" si="24"/>
        <v>280</v>
      </c>
      <c r="V88" s="39">
        <f t="shared" si="24"/>
        <v>0</v>
      </c>
      <c r="W88" s="39">
        <f t="shared" si="24"/>
        <v>280</v>
      </c>
      <c r="X88" s="39">
        <f t="shared" si="24"/>
        <v>280</v>
      </c>
      <c r="Y88" s="39">
        <f t="shared" si="24"/>
        <v>280</v>
      </c>
      <c r="Z88" s="74"/>
      <c r="AA88" s="39">
        <f t="shared" ref="AA88:AL88" si="25">+SUM(AA84:AA87)</f>
        <v>0</v>
      </c>
      <c r="AB88" s="54">
        <f t="shared" si="25"/>
        <v>0</v>
      </c>
      <c r="AC88" s="39">
        <f t="shared" si="25"/>
        <v>0</v>
      </c>
      <c r="AD88" s="39">
        <f t="shared" si="25"/>
        <v>0</v>
      </c>
      <c r="AE88" s="39">
        <f t="shared" si="25"/>
        <v>0</v>
      </c>
      <c r="AF88" s="39">
        <f t="shared" si="25"/>
        <v>0</v>
      </c>
      <c r="AG88" s="39">
        <f t="shared" si="25"/>
        <v>0</v>
      </c>
      <c r="AH88" s="39">
        <f t="shared" si="25"/>
        <v>0</v>
      </c>
      <c r="AI88" s="39">
        <f t="shared" si="25"/>
        <v>4000</v>
      </c>
      <c r="AJ88" s="39">
        <f t="shared" si="25"/>
        <v>0</v>
      </c>
      <c r="AK88" s="39">
        <f t="shared" si="25"/>
        <v>1260</v>
      </c>
      <c r="AL88" s="39">
        <f t="shared" si="25"/>
        <v>0</v>
      </c>
      <c r="AM88" s="74"/>
      <c r="AN88" s="57">
        <f>SUM(AN84:AN87)</f>
        <v>28340</v>
      </c>
    </row>
    <row r="89" spans="1:40">
      <c r="C89" s="39"/>
      <c r="D89" s="39"/>
      <c r="E89" s="39"/>
      <c r="F89" s="39"/>
      <c r="G89" s="39"/>
      <c r="H89" s="7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74"/>
      <c r="AA89" s="39"/>
      <c r="AB89" s="54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74"/>
      <c r="AN89" s="57"/>
    </row>
    <row r="90" spans="1:40">
      <c r="B90" s="10" t="s">
        <v>327</v>
      </c>
      <c r="C90" s="39">
        <f>SUM(C80+C88)</f>
        <v>0</v>
      </c>
      <c r="D90" s="39">
        <f t="shared" ref="D90:Y90" si="26">SUM(D80+D88)</f>
        <v>228038.01441687497</v>
      </c>
      <c r="E90" s="39">
        <f t="shared" si="26"/>
        <v>369289.76695260586</v>
      </c>
      <c r="F90" s="39">
        <f t="shared" si="26"/>
        <v>54889.634935594018</v>
      </c>
      <c r="G90" s="39">
        <f t="shared" si="26"/>
        <v>59999.639027162579</v>
      </c>
      <c r="H90" s="78"/>
      <c r="I90" s="39">
        <f t="shared" si="26"/>
        <v>55693.962999999989</v>
      </c>
      <c r="J90" s="39">
        <f t="shared" si="26"/>
        <v>63487.496687499995</v>
      </c>
      <c r="K90" s="39">
        <f>SUM(K80+K88)</f>
        <v>66176.893974687482</v>
      </c>
      <c r="L90" s="39">
        <f t="shared" si="26"/>
        <v>42679.660754687487</v>
      </c>
      <c r="M90" s="39">
        <f t="shared" si="26"/>
        <v>63885.46075468749</v>
      </c>
      <c r="N90" s="39">
        <f t="shared" si="26"/>
        <v>63885.46075468749</v>
      </c>
      <c r="O90" s="39">
        <f t="shared" si="26"/>
        <v>66031.943580393534</v>
      </c>
      <c r="P90" s="39">
        <f t="shared" si="26"/>
        <v>63605.46075468749</v>
      </c>
      <c r="Q90" s="39">
        <f t="shared" si="26"/>
        <v>0</v>
      </c>
      <c r="R90" s="39">
        <f t="shared" si="26"/>
        <v>0</v>
      </c>
      <c r="S90" s="39">
        <f t="shared" si="26"/>
        <v>0</v>
      </c>
      <c r="T90" s="39">
        <f t="shared" si="26"/>
        <v>0</v>
      </c>
      <c r="U90" s="39">
        <f t="shared" si="26"/>
        <v>41645.522687499993</v>
      </c>
      <c r="V90" s="39">
        <f t="shared" si="26"/>
        <v>0</v>
      </c>
      <c r="W90" s="39">
        <f t="shared" si="26"/>
        <v>21479.830377343744</v>
      </c>
      <c r="X90" s="39">
        <f t="shared" si="26"/>
        <v>17485.644362499996</v>
      </c>
      <c r="Y90" s="39">
        <f t="shared" si="26"/>
        <v>31270.443680806125</v>
      </c>
      <c r="Z90" s="74"/>
      <c r="AA90" s="54">
        <f t="shared" ref="AA90:AF90" si="27">SUM(AA80+AA88)</f>
        <v>15990.707155629145</v>
      </c>
      <c r="AB90" s="54">
        <f t="shared" si="27"/>
        <v>26386.546449401012</v>
      </c>
      <c r="AC90" s="54">
        <f t="shared" si="27"/>
        <v>22669.644250000001</v>
      </c>
      <c r="AD90" s="54">
        <f t="shared" si="27"/>
        <v>26381.717308648829</v>
      </c>
      <c r="AE90" s="54">
        <f t="shared" si="27"/>
        <v>8110.6938000000009</v>
      </c>
      <c r="AF90" s="54">
        <f t="shared" si="27"/>
        <v>13750</v>
      </c>
      <c r="AG90" s="39">
        <f t="shared" ref="AG90:AL90" si="28">+AG80+AG88</f>
        <v>19022.04</v>
      </c>
      <c r="AH90" s="39">
        <f t="shared" si="28"/>
        <v>27878.78787878788</v>
      </c>
      <c r="AI90" s="39">
        <f t="shared" si="28"/>
        <v>48208.012000000002</v>
      </c>
      <c r="AJ90" s="39">
        <f t="shared" si="28"/>
        <v>0</v>
      </c>
      <c r="AK90" s="39">
        <f t="shared" si="28"/>
        <v>43269.786000000007</v>
      </c>
      <c r="AL90" s="39">
        <f t="shared" si="28"/>
        <v>10902.972668791499</v>
      </c>
      <c r="AM90" s="74"/>
      <c r="AN90" s="41">
        <f>+AN80+AN88</f>
        <v>974787.96284349565</v>
      </c>
    </row>
    <row r="91" spans="1:40">
      <c r="C91" s="39"/>
      <c r="D91" s="39"/>
      <c r="E91" s="39"/>
      <c r="F91" s="39"/>
      <c r="G91" s="39"/>
      <c r="H91" s="7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74"/>
      <c r="AA91" s="39"/>
      <c r="AB91" s="54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74"/>
      <c r="AN91" s="57"/>
    </row>
    <row r="92" spans="1:40">
      <c r="A92" s="10" t="s">
        <v>328</v>
      </c>
      <c r="C92" s="39"/>
      <c r="D92" s="39"/>
      <c r="E92" s="39"/>
      <c r="F92" s="39"/>
      <c r="G92" s="39"/>
      <c r="H92" s="7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74"/>
      <c r="AA92" s="39"/>
      <c r="AB92" s="54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74"/>
      <c r="AN92" s="57"/>
    </row>
    <row r="93" spans="1:40">
      <c r="A93" s="10" t="s">
        <v>25</v>
      </c>
      <c r="B93" s="10" t="s">
        <v>33</v>
      </c>
      <c r="C93" s="39"/>
      <c r="D93" s="39">
        <f>SUM(I93:L93)</f>
        <v>24632.495999999999</v>
      </c>
      <c r="E93" s="39">
        <f t="shared" ref="E93:E101" si="29">+SUM(M93:Y93)</f>
        <v>42227.135999999999</v>
      </c>
      <c r="F93" s="39">
        <f>+F$7*139.64*2*1.05*12</f>
        <v>7037.8559999999998</v>
      </c>
      <c r="G93" s="39">
        <f>+G$7*139.64*2*1.05*12</f>
        <v>3518.9279999999999</v>
      </c>
      <c r="H93" s="78"/>
      <c r="I93" s="39">
        <f t="shared" ref="I93:Y93" si="30">+I$7*139.64*2*1.05*12</f>
        <v>7037.8559999999998</v>
      </c>
      <c r="J93" s="39">
        <f t="shared" si="30"/>
        <v>7037.8559999999998</v>
      </c>
      <c r="K93" s="39">
        <f t="shared" si="30"/>
        <v>7037.8559999999998</v>
      </c>
      <c r="L93" s="39">
        <f t="shared" si="30"/>
        <v>3518.9279999999999</v>
      </c>
      <c r="M93" s="39">
        <f t="shared" si="30"/>
        <v>7037.8559999999998</v>
      </c>
      <c r="N93" s="39">
        <f t="shared" si="30"/>
        <v>7037.8559999999998</v>
      </c>
      <c r="O93" s="39">
        <f t="shared" si="30"/>
        <v>7037.8559999999998</v>
      </c>
      <c r="P93" s="39">
        <f t="shared" si="30"/>
        <v>7037.8559999999998</v>
      </c>
      <c r="Q93" s="39">
        <f t="shared" si="30"/>
        <v>0</v>
      </c>
      <c r="R93" s="39">
        <f t="shared" si="30"/>
        <v>0</v>
      </c>
      <c r="S93" s="39">
        <f t="shared" si="30"/>
        <v>0</v>
      </c>
      <c r="T93" s="39">
        <f t="shared" si="30"/>
        <v>0</v>
      </c>
      <c r="U93" s="39">
        <f t="shared" si="30"/>
        <v>3518.9279999999999</v>
      </c>
      <c r="V93" s="39">
        <f t="shared" si="30"/>
        <v>3518.9279999999999</v>
      </c>
      <c r="W93" s="39">
        <f t="shared" si="30"/>
        <v>1759.4639999999999</v>
      </c>
      <c r="X93" s="39">
        <f t="shared" si="30"/>
        <v>1759.4639999999999</v>
      </c>
      <c r="Y93" s="39">
        <f t="shared" si="30"/>
        <v>3518.9279999999999</v>
      </c>
      <c r="Z93" s="74"/>
      <c r="AA93" s="39">
        <f t="shared" ref="AA93:AF93" si="31">+AA$7*3410.5</f>
        <v>852.625</v>
      </c>
      <c r="AB93" s="39">
        <f t="shared" si="31"/>
        <v>1705.25</v>
      </c>
      <c r="AC93" s="39">
        <f t="shared" si="31"/>
        <v>1705.25</v>
      </c>
      <c r="AD93" s="39">
        <f t="shared" si="31"/>
        <v>1705.25</v>
      </c>
      <c r="AE93" s="39">
        <f t="shared" si="31"/>
        <v>682.1</v>
      </c>
      <c r="AF93" s="39">
        <f t="shared" si="31"/>
        <v>852.625</v>
      </c>
      <c r="AG93" s="39"/>
      <c r="AH93" s="39"/>
      <c r="AI93" s="39">
        <f>+AI$7*3410.5</f>
        <v>6821</v>
      </c>
      <c r="AJ93" s="39">
        <f>+AJ$7*3410.5</f>
        <v>0</v>
      </c>
      <c r="AK93" s="39">
        <f>+AK$7*3410.5</f>
        <v>6821</v>
      </c>
      <c r="AL93" s="39">
        <f>+AL$7*3410.5</f>
        <v>852.625</v>
      </c>
      <c r="AM93" s="74"/>
      <c r="AN93" s="67">
        <f t="shared" ref="AN93:AN101" si="32">SUM(C93:G93)+SUM(AA93:AL93)</f>
        <v>99414.141000000003</v>
      </c>
    </row>
    <row r="94" spans="1:40">
      <c r="A94" s="10" t="s">
        <v>26</v>
      </c>
      <c r="B94" s="10" t="s">
        <v>34</v>
      </c>
      <c r="C94" s="39"/>
      <c r="D94" s="39">
        <f>SUM(I94:L94)</f>
        <v>1497.6864</v>
      </c>
      <c r="E94" s="39">
        <f t="shared" si="29"/>
        <v>2567.4623999999999</v>
      </c>
      <c r="F94" s="39">
        <f>+F$7*8.74*2*1.02*12</f>
        <v>427.91039999999998</v>
      </c>
      <c r="G94" s="39">
        <f>+G$7*8.74*2*1.02*12</f>
        <v>213.95519999999999</v>
      </c>
      <c r="H94" s="78"/>
      <c r="I94" s="39">
        <f t="shared" ref="I94:Y94" si="33">+I$7*8.74*2*1.02*12</f>
        <v>427.91039999999998</v>
      </c>
      <c r="J94" s="39">
        <f t="shared" si="33"/>
        <v>427.91039999999998</v>
      </c>
      <c r="K94" s="39">
        <f t="shared" si="33"/>
        <v>427.91039999999998</v>
      </c>
      <c r="L94" s="39">
        <f t="shared" si="33"/>
        <v>213.95519999999999</v>
      </c>
      <c r="M94" s="39">
        <f t="shared" si="33"/>
        <v>427.91039999999998</v>
      </c>
      <c r="N94" s="39">
        <f t="shared" si="33"/>
        <v>427.91039999999998</v>
      </c>
      <c r="O94" s="39">
        <f t="shared" si="33"/>
        <v>427.91039999999998</v>
      </c>
      <c r="P94" s="39">
        <f t="shared" si="33"/>
        <v>427.91039999999998</v>
      </c>
      <c r="Q94" s="39">
        <f t="shared" si="33"/>
        <v>0</v>
      </c>
      <c r="R94" s="39">
        <f t="shared" si="33"/>
        <v>0</v>
      </c>
      <c r="S94" s="39">
        <f t="shared" si="33"/>
        <v>0</v>
      </c>
      <c r="T94" s="39">
        <f t="shared" si="33"/>
        <v>0</v>
      </c>
      <c r="U94" s="39">
        <f t="shared" si="33"/>
        <v>213.95519999999999</v>
      </c>
      <c r="V94" s="39">
        <f t="shared" si="33"/>
        <v>213.95519999999999</v>
      </c>
      <c r="W94" s="39">
        <f t="shared" si="33"/>
        <v>106.9776</v>
      </c>
      <c r="X94" s="39">
        <f t="shared" si="33"/>
        <v>106.9776</v>
      </c>
      <c r="Y94" s="39">
        <f t="shared" si="33"/>
        <v>213.95519999999999</v>
      </c>
      <c r="Z94" s="74"/>
      <c r="AA94" s="39">
        <f>+AA$7*8.74*2*1.02*12*0.67</f>
        <v>35.837496000000002</v>
      </c>
      <c r="AB94" s="54">
        <f>+AB$7*8.74*2*1.02*12</f>
        <v>106.9776</v>
      </c>
      <c r="AC94" s="39">
        <f>+AC$7*8.74*2*1.02*12*0.67</f>
        <v>71.674992000000003</v>
      </c>
      <c r="AD94" s="39">
        <f>+AD$7*8.74*2*1.02*12*0.67</f>
        <v>71.674992000000003</v>
      </c>
      <c r="AE94" s="39">
        <f>+AE$7*8.74*2*1.02*12*0.67</f>
        <v>28.669996800000007</v>
      </c>
      <c r="AF94" s="39">
        <f>+AF$7*8.74*2*1.02*12*0.67</f>
        <v>35.837496000000002</v>
      </c>
      <c r="AG94" s="39"/>
      <c r="AH94" s="39"/>
      <c r="AI94" s="61">
        <f ca="1">SUM(FC!E94)</f>
        <v>427.91039999999998</v>
      </c>
      <c r="AJ94" s="61">
        <v>0</v>
      </c>
      <c r="AK94" s="61">
        <f ca="1">SUM(FS!E94)</f>
        <v>427.91039999999998</v>
      </c>
      <c r="AL94" s="61">
        <f ca="1">SUM(IT!E94)</f>
        <v>53.488799999999998</v>
      </c>
      <c r="AM94" s="74"/>
      <c r="AN94" s="67">
        <f t="shared" si="32"/>
        <v>5966.9965728000006</v>
      </c>
    </row>
    <row r="95" spans="1:40">
      <c r="A95" s="10" t="s">
        <v>28</v>
      </c>
      <c r="B95" s="10" t="s">
        <v>27</v>
      </c>
      <c r="C95" s="39"/>
      <c r="D95" s="39">
        <f t="shared" ref="D95:D101" si="34">+SUM(I95:L95)</f>
        <v>14068.916893846246</v>
      </c>
      <c r="E95" s="39">
        <f t="shared" si="29"/>
        <v>22774.445551061566</v>
      </c>
      <c r="F95" s="39">
        <f>(+F$88-F$84+F$80)*0.062</f>
        <v>3403.1573660068293</v>
      </c>
      <c r="G95" s="39">
        <f>(+G$88-G$84+G$80)*0.062</f>
        <v>3719.9776196840799</v>
      </c>
      <c r="H95" s="78"/>
      <c r="I95" s="39">
        <f>(+I$88-I$84+I$80)*0.062</f>
        <v>3435.6657059999993</v>
      </c>
      <c r="J95" s="39">
        <f>(+J$88-J$84+J$80)*0.062</f>
        <v>3918.8647946249998</v>
      </c>
      <c r="K95" s="39">
        <f>(+K$88-K$84+K$80)*0.062</f>
        <v>4085.6074264306239</v>
      </c>
      <c r="L95" s="39">
        <f>(+L$88-L$84+L$80)*0.062</f>
        <v>2628.7789667906241</v>
      </c>
      <c r="M95" s="39">
        <f t="shared" ref="M95:T95" si="35">(+M$88-M$84+M$80)*0.062</f>
        <v>3943.5385667906244</v>
      </c>
      <c r="N95" s="39">
        <f t="shared" si="35"/>
        <v>3943.5385667906244</v>
      </c>
      <c r="O95" s="39">
        <f t="shared" si="35"/>
        <v>4076.6205019843992</v>
      </c>
      <c r="P95" s="39">
        <f t="shared" si="35"/>
        <v>3943.5385667906244</v>
      </c>
      <c r="Q95" s="39">
        <f t="shared" si="35"/>
        <v>0</v>
      </c>
      <c r="R95" s="39">
        <f t="shared" si="35"/>
        <v>0</v>
      </c>
      <c r="S95" s="39">
        <f t="shared" si="35"/>
        <v>0</v>
      </c>
      <c r="T95" s="39">
        <f t="shared" si="35"/>
        <v>0</v>
      </c>
      <c r="U95" s="39">
        <f>(+U$88-U$84+U$80)*0.062</f>
        <v>2564.6624066249997</v>
      </c>
      <c r="V95" s="39">
        <f>(+V$88-V$84+V$80)*0.062</f>
        <v>0</v>
      </c>
      <c r="W95" s="39">
        <f>(+W$88-W$84+W$80)*0.062</f>
        <v>1314.389483395312</v>
      </c>
      <c r="X95" s="39">
        <f>(+X$88-X$84+X$80)*0.062</f>
        <v>1066.7499504749997</v>
      </c>
      <c r="Y95" s="39">
        <f>(+Y$88-Y$84+Y$80)*0.062</f>
        <v>1921.4075082099798</v>
      </c>
      <c r="Z95" s="74"/>
      <c r="AA95" s="39">
        <f t="shared" ref="AA95:AF95" si="36">(+AA$88-AA$84+AA$80)*0.062</f>
        <v>991.42384364900693</v>
      </c>
      <c r="AB95" s="54">
        <f t="shared" si="36"/>
        <v>1635.9658798628627</v>
      </c>
      <c r="AC95" s="39">
        <f t="shared" si="36"/>
        <v>1405.5179435</v>
      </c>
      <c r="AD95" s="39">
        <f t="shared" si="36"/>
        <v>1635.6664731362273</v>
      </c>
      <c r="AE95" s="39">
        <f t="shared" si="36"/>
        <v>502.86301560000004</v>
      </c>
      <c r="AF95" s="39">
        <f t="shared" si="36"/>
        <v>852.5</v>
      </c>
      <c r="AG95" s="39">
        <f>(+AG$88-AG$84+AG$80)*0.062</f>
        <v>1179.3664800000001</v>
      </c>
      <c r="AH95" s="39">
        <f>(+AH$88-AH$84+AH$80)*0.062</f>
        <v>1728.4848484848485</v>
      </c>
      <c r="AI95" s="61">
        <f ca="1">SUM(FC!E95)</f>
        <v>2988.8967440000001</v>
      </c>
      <c r="AJ95" s="61">
        <v>0</v>
      </c>
      <c r="AK95" s="61">
        <f ca="1">SUM(FS!E95)</f>
        <v>2604.6067320000006</v>
      </c>
      <c r="AL95" s="61">
        <f ca="1">SUM(IT!E95)</f>
        <v>675.98430546507291</v>
      </c>
      <c r="AM95" s="74"/>
      <c r="AN95" s="67">
        <f t="shared" si="32"/>
        <v>60167.773696296746</v>
      </c>
    </row>
    <row r="96" spans="1:40">
      <c r="A96" s="10" t="s">
        <v>30</v>
      </c>
      <c r="B96" s="10" t="s">
        <v>29</v>
      </c>
      <c r="C96" s="39"/>
      <c r="D96" s="39">
        <f t="shared" si="34"/>
        <v>3290.3112090446866</v>
      </c>
      <c r="E96" s="39">
        <f t="shared" si="29"/>
        <v>5326.2816208127851</v>
      </c>
      <c r="F96" s="39">
        <f>(+F$88-F$84+F$80)*0.0145</f>
        <v>795.89970656611331</v>
      </c>
      <c r="G96" s="39">
        <f>(+G$88-G$84+G$80)*0.0145</f>
        <v>869.99476589385745</v>
      </c>
      <c r="H96" s="78"/>
      <c r="I96" s="39">
        <f>(+I$88-I$84+I$80)*0.0145</f>
        <v>803.50246349999986</v>
      </c>
      <c r="J96" s="39">
        <f>(+J$88-J$84+J$80)*0.0145</f>
        <v>916.50870196874996</v>
      </c>
      <c r="K96" s="39">
        <f>(+K$88-K$84+K$80)*0.0145</f>
        <v>955.5049626329685</v>
      </c>
      <c r="L96" s="39">
        <f>(+L$88-L$84+L$80)*0.0145</f>
        <v>614.79508094296864</v>
      </c>
      <c r="M96" s="39">
        <f t="shared" ref="M96:T96" si="37">(+M$88-M$84+M$80)*0.0145</f>
        <v>922.27918094296865</v>
      </c>
      <c r="N96" s="39">
        <f t="shared" si="37"/>
        <v>922.27918094296865</v>
      </c>
      <c r="O96" s="39">
        <f t="shared" si="37"/>
        <v>953.40318191570634</v>
      </c>
      <c r="P96" s="39">
        <f t="shared" si="37"/>
        <v>922.27918094296865</v>
      </c>
      <c r="Q96" s="39">
        <f t="shared" si="37"/>
        <v>0</v>
      </c>
      <c r="R96" s="39">
        <f t="shared" si="37"/>
        <v>0</v>
      </c>
      <c r="S96" s="39">
        <f t="shared" si="37"/>
        <v>0</v>
      </c>
      <c r="T96" s="39">
        <f t="shared" si="37"/>
        <v>0</v>
      </c>
      <c r="U96" s="39">
        <f>(+U$88-U$84+U$80)*0.0145</f>
        <v>599.80007896874997</v>
      </c>
      <c r="V96" s="39">
        <f>(+V$88-V$84+V$80)*0.0145</f>
        <v>0</v>
      </c>
      <c r="W96" s="39">
        <f>(+W$88-W$84+W$80)*0.0145</f>
        <v>307.39754047148432</v>
      </c>
      <c r="X96" s="39">
        <f>(+X$88-X$84+X$80)*0.0145</f>
        <v>249.48184325624996</v>
      </c>
      <c r="Y96" s="39">
        <f>(+Y$88-Y$84+Y$80)*0.0145</f>
        <v>449.36143337168886</v>
      </c>
      <c r="Z96" s="74"/>
      <c r="AA96" s="39">
        <f t="shared" ref="AA96:AF96" si="38">(+AA$88-AA$84+AA$80)*0.0145</f>
        <v>231.86525375662262</v>
      </c>
      <c r="AB96" s="54">
        <f t="shared" si="38"/>
        <v>382.60492351631467</v>
      </c>
      <c r="AC96" s="39">
        <f t="shared" si="38"/>
        <v>328.70984162500002</v>
      </c>
      <c r="AD96" s="39">
        <f t="shared" si="38"/>
        <v>382.53490097540805</v>
      </c>
      <c r="AE96" s="39">
        <f t="shared" si="38"/>
        <v>117.60506010000002</v>
      </c>
      <c r="AF96" s="39">
        <f t="shared" si="38"/>
        <v>199.375</v>
      </c>
      <c r="AG96" s="39">
        <f>(+AG$88-AG$84+AG$80)*0.0145</f>
        <v>275.81958000000003</v>
      </c>
      <c r="AH96" s="39">
        <f>(+AH$88-AH$84+AH$80)*0.0145</f>
        <v>404.24242424242431</v>
      </c>
      <c r="AI96" s="61">
        <f ca="1">SUM(FC!E96)</f>
        <v>699.01617400000009</v>
      </c>
      <c r="AJ96" s="61">
        <v>0</v>
      </c>
      <c r="AK96" s="61">
        <f ca="1">SUM(FS!E96)</f>
        <v>609.14189700000009</v>
      </c>
      <c r="AL96" s="61">
        <f ca="1">SUM(IT!E96)</f>
        <v>158.09310369747675</v>
      </c>
      <c r="AM96" s="74"/>
      <c r="AN96" s="67">
        <f t="shared" si="32"/>
        <v>14071.49546123069</v>
      </c>
    </row>
    <row r="97" spans="1:40">
      <c r="A97" s="10" t="s">
        <v>31</v>
      </c>
      <c r="B97" s="10" t="s">
        <v>32</v>
      </c>
      <c r="C97" s="39"/>
      <c r="D97" s="39">
        <f t="shared" si="34"/>
        <v>13615.080865012498</v>
      </c>
      <c r="E97" s="39">
        <f t="shared" si="29"/>
        <v>22039.786017156355</v>
      </c>
      <c r="F97" s="39">
        <f>(+F$88-F$84+F$80)*0.06</f>
        <v>3293.378096135641</v>
      </c>
      <c r="G97" s="39">
        <f>(+G$88-G$84+G$80)*0.06</f>
        <v>3599.9783416297546</v>
      </c>
      <c r="H97" s="78"/>
      <c r="I97" s="39">
        <f t="shared" ref="I97:Y97" si="39">(+I$88-I$84+I$80)*0.06</f>
        <v>3324.8377799999994</v>
      </c>
      <c r="J97" s="39">
        <f t="shared" si="39"/>
        <v>3792.4498012499994</v>
      </c>
      <c r="K97" s="39">
        <f t="shared" si="39"/>
        <v>3953.8136384812487</v>
      </c>
      <c r="L97" s="39">
        <f t="shared" si="39"/>
        <v>2543.9796452812493</v>
      </c>
      <c r="M97" s="39">
        <f t="shared" si="39"/>
        <v>3816.3276452812493</v>
      </c>
      <c r="N97" s="39">
        <f t="shared" si="39"/>
        <v>3816.3276452812493</v>
      </c>
      <c r="O97" s="39">
        <f t="shared" si="39"/>
        <v>3945.1166148236121</v>
      </c>
      <c r="P97" s="39">
        <f t="shared" si="39"/>
        <v>3816.3276452812493</v>
      </c>
      <c r="Q97" s="39">
        <f t="shared" si="39"/>
        <v>0</v>
      </c>
      <c r="R97" s="39">
        <f t="shared" si="39"/>
        <v>0</v>
      </c>
      <c r="S97" s="39">
        <f t="shared" si="39"/>
        <v>0</v>
      </c>
      <c r="T97" s="39">
        <f t="shared" si="39"/>
        <v>0</v>
      </c>
      <c r="U97" s="39">
        <f t="shared" si="39"/>
        <v>2481.9313612499996</v>
      </c>
      <c r="V97" s="39">
        <f t="shared" si="39"/>
        <v>0</v>
      </c>
      <c r="W97" s="39">
        <f t="shared" si="39"/>
        <v>1271.9898226406247</v>
      </c>
      <c r="X97" s="39">
        <f t="shared" si="39"/>
        <v>1032.3386617499998</v>
      </c>
      <c r="Y97" s="39">
        <f t="shared" si="39"/>
        <v>1859.4266208483675</v>
      </c>
      <c r="Z97" s="74"/>
      <c r="AA97" s="39">
        <f>(+AA$88-AA$84+AA$80)*0.06*0.65</f>
        <v>623.63757906953663</v>
      </c>
      <c r="AB97" s="54">
        <f>(+AB$88-AB$84+AB$80)*0.06</f>
        <v>1583.1927869640606</v>
      </c>
      <c r="AC97" s="39">
        <f>(+AC$88-AC$84+AC$80)*0.06*0.65</f>
        <v>884.11612575000004</v>
      </c>
      <c r="AD97" s="39">
        <f>(+AD$88-AD$84+AD$80)*0.06*0.65</f>
        <v>1028.8869750373044</v>
      </c>
      <c r="AE97" s="39">
        <f>(+AE$88-AE$84+AE$80)*0.06*0.65</f>
        <v>316.31705820000002</v>
      </c>
      <c r="AF97" s="39">
        <f>(+AF$88-AF$84+AF$80)*0.06*0.65</f>
        <v>536.25</v>
      </c>
      <c r="AG97" s="39">
        <f>(+AG$88-AG$84+AG$80)*0.06*0.5</f>
        <v>570.66120000000001</v>
      </c>
      <c r="AH97" s="39">
        <f>+AH18*0.06*0.5</f>
        <v>790.90909090909088</v>
      </c>
      <c r="AI97" s="61">
        <f ca="1">SUM(FC!E97)</f>
        <v>2892.48072</v>
      </c>
      <c r="AJ97" s="61">
        <v>0</v>
      </c>
      <c r="AK97" s="61">
        <f ca="1">SUM(FS!E97)</f>
        <v>2520.5871600000005</v>
      </c>
      <c r="AL97" s="61">
        <f ca="1">SUM(IT!E97)</f>
        <v>654.1783601274899</v>
      </c>
      <c r="AM97" s="74"/>
      <c r="AN97" s="67">
        <f t="shared" si="32"/>
        <v>54949.440375991733</v>
      </c>
    </row>
    <row r="98" spans="1:40">
      <c r="A98" s="10" t="s">
        <v>36</v>
      </c>
      <c r="B98" s="10" t="s">
        <v>35</v>
      </c>
      <c r="C98" s="39"/>
      <c r="D98" s="39">
        <f t="shared" si="34"/>
        <v>1270.7408807344996</v>
      </c>
      <c r="E98" s="39">
        <f t="shared" si="29"/>
        <v>2057.0466949345928</v>
      </c>
      <c r="F98" s="39">
        <f>(+F$88-F$84+F$80)*0.0056</f>
        <v>307.38195563932652</v>
      </c>
      <c r="G98" s="39">
        <f>(+G$88-G$84+G$80)*0.0056</f>
        <v>335.99797855211045</v>
      </c>
      <c r="H98" s="78"/>
      <c r="I98" s="39">
        <f>(+I$88-I$84+I$80)*0.0056</f>
        <v>310.31819279999991</v>
      </c>
      <c r="J98" s="39">
        <f>(+J$88-J$84+J$80)*0.0056</f>
        <v>353.96198145</v>
      </c>
      <c r="K98" s="39">
        <f>(+K$88-K$84+K$80)*0.0056</f>
        <v>369.02260625824988</v>
      </c>
      <c r="L98" s="39">
        <f>(+L$88-L$84+L$80)*0.0056</f>
        <v>237.43810022624993</v>
      </c>
      <c r="M98" s="39">
        <f t="shared" ref="M98:T98" si="40">(+M$88-M$84+M$80)*0.0056</f>
        <v>356.19058022624995</v>
      </c>
      <c r="N98" s="39">
        <f t="shared" si="40"/>
        <v>356.19058022624995</v>
      </c>
      <c r="O98" s="39">
        <f t="shared" si="40"/>
        <v>368.21088405020379</v>
      </c>
      <c r="P98" s="39">
        <f t="shared" si="40"/>
        <v>356.19058022624995</v>
      </c>
      <c r="Q98" s="39">
        <f t="shared" si="40"/>
        <v>0</v>
      </c>
      <c r="R98" s="39">
        <f t="shared" si="40"/>
        <v>0</v>
      </c>
      <c r="S98" s="39">
        <f t="shared" si="40"/>
        <v>0</v>
      </c>
      <c r="T98" s="39">
        <f t="shared" si="40"/>
        <v>0</v>
      </c>
      <c r="U98" s="39">
        <f>(+U$88-U$84+U$80)*0.0056</f>
        <v>231.64692704999996</v>
      </c>
      <c r="V98" s="39">
        <f>(+V$88-V$84+V$80)*0.0056</f>
        <v>0</v>
      </c>
      <c r="W98" s="39">
        <f>(+W$88-W$84+W$80)*0.0056</f>
        <v>118.71905011312496</v>
      </c>
      <c r="X98" s="39">
        <f>(+X$88-X$84+X$80)*0.0056</f>
        <v>96.35160842999997</v>
      </c>
      <c r="Y98" s="39">
        <f>(+Y$88-Y$84+Y$80)*0.0056</f>
        <v>173.54648461251429</v>
      </c>
      <c r="Z98" s="74"/>
      <c r="AA98" s="39">
        <f t="shared" ref="AA98:AF98" si="41">(+AA$88-AA$84+AA$80)*0.0056</f>
        <v>89.547960071523207</v>
      </c>
      <c r="AB98" s="54">
        <f t="shared" si="41"/>
        <v>147.76466011664567</v>
      </c>
      <c r="AC98" s="39">
        <f t="shared" si="41"/>
        <v>126.95000780000001</v>
      </c>
      <c r="AD98" s="39">
        <f t="shared" si="41"/>
        <v>147.73761692843345</v>
      </c>
      <c r="AE98" s="39">
        <f t="shared" si="41"/>
        <v>45.419885280000003</v>
      </c>
      <c r="AF98" s="39">
        <f t="shared" si="41"/>
        <v>77</v>
      </c>
      <c r="AG98" s="39">
        <f>(+AG$88-AG$84+AG$80)*0.0056</f>
        <v>106.52342400000001</v>
      </c>
      <c r="AH98" s="39">
        <f>(+AH$88-AH$84+AH$80)*0.0056</f>
        <v>156.12121212121212</v>
      </c>
      <c r="AI98" s="61">
        <f ca="1">SUM(FC!E98)</f>
        <v>269.96486720000001</v>
      </c>
      <c r="AJ98" s="61">
        <v>0</v>
      </c>
      <c r="AK98" s="61">
        <f ca="1">SUM(FS!E98)</f>
        <v>235.25480160000004</v>
      </c>
      <c r="AL98" s="61">
        <f ca="1">SUM(IT!E98)</f>
        <v>61.056646945232394</v>
      </c>
      <c r="AM98" s="74"/>
      <c r="AN98" s="67">
        <f t="shared" si="32"/>
        <v>5434.5085919235762</v>
      </c>
    </row>
    <row r="99" spans="1:40">
      <c r="A99" s="10" t="s">
        <v>38</v>
      </c>
      <c r="B99" s="10" t="s">
        <v>37</v>
      </c>
      <c r="C99" s="39"/>
      <c r="D99" s="39">
        <f t="shared" si="34"/>
        <v>1083.3900000000001</v>
      </c>
      <c r="E99" s="39">
        <f t="shared" si="29"/>
        <v>1857.24</v>
      </c>
      <c r="F99" s="39">
        <f>+F$7*7700*0.0201</f>
        <v>309.54000000000002</v>
      </c>
      <c r="G99" s="39">
        <f>+G$7*7700*0.0201</f>
        <v>154.77000000000001</v>
      </c>
      <c r="H99" s="78"/>
      <c r="I99" s="39">
        <f t="shared" ref="I99:Y99" si="42">+I$7*7700*0.0201</f>
        <v>309.54000000000002</v>
      </c>
      <c r="J99" s="39">
        <f t="shared" si="42"/>
        <v>309.54000000000002</v>
      </c>
      <c r="K99" s="39">
        <f t="shared" si="42"/>
        <v>309.54000000000002</v>
      </c>
      <c r="L99" s="39">
        <f t="shared" si="42"/>
        <v>154.77000000000001</v>
      </c>
      <c r="M99" s="39">
        <f t="shared" si="42"/>
        <v>309.54000000000002</v>
      </c>
      <c r="N99" s="39">
        <f t="shared" si="42"/>
        <v>309.54000000000002</v>
      </c>
      <c r="O99" s="39">
        <f t="shared" si="42"/>
        <v>309.54000000000002</v>
      </c>
      <c r="P99" s="39">
        <f t="shared" si="42"/>
        <v>309.54000000000002</v>
      </c>
      <c r="Q99" s="39">
        <f t="shared" si="42"/>
        <v>0</v>
      </c>
      <c r="R99" s="39">
        <f t="shared" si="42"/>
        <v>0</v>
      </c>
      <c r="S99" s="39">
        <f t="shared" si="42"/>
        <v>0</v>
      </c>
      <c r="T99" s="39">
        <f t="shared" si="42"/>
        <v>0</v>
      </c>
      <c r="U99" s="39">
        <f t="shared" si="42"/>
        <v>154.77000000000001</v>
      </c>
      <c r="V99" s="39">
        <f t="shared" si="42"/>
        <v>154.77000000000001</v>
      </c>
      <c r="W99" s="39">
        <f t="shared" si="42"/>
        <v>77.385000000000005</v>
      </c>
      <c r="X99" s="39">
        <f t="shared" si="42"/>
        <v>77.385000000000005</v>
      </c>
      <c r="Y99" s="39">
        <f t="shared" si="42"/>
        <v>154.77000000000001</v>
      </c>
      <c r="Z99" s="74"/>
      <c r="AA99" s="39">
        <f t="shared" ref="AA99:AF99" si="43">+AA$7*7700*0.0201</f>
        <v>38.692500000000003</v>
      </c>
      <c r="AB99" s="54">
        <f t="shared" si="43"/>
        <v>77.385000000000005</v>
      </c>
      <c r="AC99" s="39">
        <f t="shared" si="43"/>
        <v>77.385000000000005</v>
      </c>
      <c r="AD99" s="39">
        <f t="shared" si="43"/>
        <v>77.385000000000005</v>
      </c>
      <c r="AE99" s="39">
        <f t="shared" si="43"/>
        <v>30.954000000000001</v>
      </c>
      <c r="AF99" s="39">
        <f t="shared" si="43"/>
        <v>38.692500000000003</v>
      </c>
      <c r="AG99" s="39">
        <f>+AG$7*7700*0.0201</f>
        <v>309.54000000000002</v>
      </c>
      <c r="AH99" s="39">
        <f>+AH$7*7700*0.0201</f>
        <v>309.54000000000002</v>
      </c>
      <c r="AI99" s="61">
        <f ca="1">SUM(FC!E99)</f>
        <v>309.54000000000002</v>
      </c>
      <c r="AJ99" s="61">
        <v>0</v>
      </c>
      <c r="AK99" s="61">
        <f ca="1">SUM(FS!E99)</f>
        <v>309.54000000000002</v>
      </c>
      <c r="AL99" s="61">
        <f ca="1">SUM(IT!E99)</f>
        <v>38.692500000000003</v>
      </c>
      <c r="AM99" s="74"/>
      <c r="AN99" s="67">
        <f t="shared" si="32"/>
        <v>5022.2865000000002</v>
      </c>
    </row>
    <row r="100" spans="1:40">
      <c r="A100" s="10" t="s">
        <v>83</v>
      </c>
      <c r="B100" s="10" t="s">
        <v>84</v>
      </c>
      <c r="C100" s="39"/>
      <c r="D100" s="39">
        <f>SUM(I100:L100)</f>
        <v>0</v>
      </c>
      <c r="E100" s="39">
        <f>SUM(M100:Y100)</f>
        <v>0</v>
      </c>
      <c r="F100" s="39"/>
      <c r="G100" s="39"/>
      <c r="H100" s="7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74"/>
      <c r="AA100" s="39"/>
      <c r="AB100" s="54"/>
      <c r="AC100" s="39"/>
      <c r="AD100" s="39"/>
      <c r="AE100" s="39"/>
      <c r="AF100" s="39"/>
      <c r="AG100" s="39"/>
      <c r="AH100" s="39"/>
      <c r="AI100" s="61">
        <f ca="1">SUM(FC!E100)</f>
        <v>0</v>
      </c>
      <c r="AJ100" s="61">
        <v>0</v>
      </c>
      <c r="AK100" s="61">
        <f ca="1">SUM(FS!E100)</f>
        <v>0</v>
      </c>
      <c r="AL100" s="61">
        <f ca="1">SUM(IT!E100)</f>
        <v>0</v>
      </c>
      <c r="AM100" s="74"/>
      <c r="AN100" s="67">
        <f t="shared" si="32"/>
        <v>0</v>
      </c>
    </row>
    <row r="101" spans="1:40">
      <c r="A101" s="10" t="s">
        <v>39</v>
      </c>
      <c r="B101" s="10" t="s">
        <v>40</v>
      </c>
      <c r="C101" s="40"/>
      <c r="D101" s="40">
        <f t="shared" si="34"/>
        <v>1656.5015052431872</v>
      </c>
      <c r="E101" s="40">
        <f t="shared" si="29"/>
        <v>2681.5072987540225</v>
      </c>
      <c r="F101" s="40">
        <f>(+F$88-F$84+F$80)*(0.0024+0.0036+0.0013)</f>
        <v>400.69433502983634</v>
      </c>
      <c r="G101" s="40">
        <f>(+G$88-G$84+G$80)*(0.0024+0.0036+0.0013)</f>
        <v>437.99736489828683</v>
      </c>
      <c r="H101" s="80"/>
      <c r="I101" s="40">
        <f>(+I$88-I$84+I$80)*(0.0024+0.0036+0.0013)</f>
        <v>404.52192989999992</v>
      </c>
      <c r="J101" s="40">
        <f>(+J$88-J$84+J$80)*(0.0024+0.0036+0.0013)</f>
        <v>461.41472581874996</v>
      </c>
      <c r="K101" s="40">
        <f>(+K$88-K$84+K$80)*(0.0024+0.0036+0.0013)</f>
        <v>481.04732601521863</v>
      </c>
      <c r="L101" s="40">
        <f>(+L$88-L$84+L$80)*(0.0024+0.0036+0.0013)</f>
        <v>309.51752350921868</v>
      </c>
      <c r="M101" s="40">
        <f t="shared" ref="M101:T101" si="44">(+M$88-M$84+M$80)*(0.0024+0.0036+0.0013)</f>
        <v>464.31986350921869</v>
      </c>
      <c r="N101" s="40">
        <f t="shared" si="44"/>
        <v>464.31986350921869</v>
      </c>
      <c r="O101" s="40">
        <f t="shared" si="44"/>
        <v>479.98918813687283</v>
      </c>
      <c r="P101" s="40">
        <f t="shared" si="44"/>
        <v>464.31986350921869</v>
      </c>
      <c r="Q101" s="40">
        <f t="shared" si="44"/>
        <v>0</v>
      </c>
      <c r="R101" s="40">
        <f t="shared" si="44"/>
        <v>0</v>
      </c>
      <c r="S101" s="40">
        <f t="shared" si="44"/>
        <v>0</v>
      </c>
      <c r="T101" s="40">
        <f t="shared" si="44"/>
        <v>0</v>
      </c>
      <c r="U101" s="40">
        <f>(+U$88-U$84+U$80)*(0.0024+0.0036+0.0013)</f>
        <v>301.96831561874995</v>
      </c>
      <c r="V101" s="40">
        <f>(+V$88-V$84+V$80)*(0.0024+0.0036+0.0013)</f>
        <v>0</v>
      </c>
      <c r="W101" s="40">
        <f>(+W$88-W$84+W$80)*(0.0024+0.0036+0.0013)</f>
        <v>154.75876175460934</v>
      </c>
      <c r="X101" s="40">
        <f>(+X$88-X$84+X$80)*(0.0024+0.0036+0.0013)</f>
        <v>125.60120384624997</v>
      </c>
      <c r="Y101" s="40">
        <f>(+Y$88-Y$84+Y$80)*(0.0024+0.0036+0.0013)</f>
        <v>226.23023886988472</v>
      </c>
      <c r="Z101" s="74"/>
      <c r="AA101" s="40">
        <f t="shared" ref="AA101:AF101" si="45">(+AA$88-AA$84+AA$80)*(0.0024+0.0036+0.0013)</f>
        <v>116.73216223609276</v>
      </c>
      <c r="AB101" s="55">
        <f t="shared" si="45"/>
        <v>192.62178908062739</v>
      </c>
      <c r="AC101" s="40">
        <f t="shared" si="45"/>
        <v>165.488403025</v>
      </c>
      <c r="AD101" s="40">
        <f t="shared" si="45"/>
        <v>192.58653635313647</v>
      </c>
      <c r="AE101" s="40">
        <f t="shared" si="45"/>
        <v>59.208064740000005</v>
      </c>
      <c r="AF101" s="40">
        <f t="shared" si="45"/>
        <v>100.375</v>
      </c>
      <c r="AG101" s="40">
        <f>(+AG$88-AG$84+AG$80)*(0.0024+0.0036+0.0013)</f>
        <v>138.86089200000001</v>
      </c>
      <c r="AH101" s="40">
        <f>(+AH$88-AH$84+AH$80)*(0.0024+0.0036+0.0013)</f>
        <v>203.51515151515153</v>
      </c>
      <c r="AI101" s="40">
        <f ca="1">SUM(FC!E101)</f>
        <v>351.91848760000005</v>
      </c>
      <c r="AJ101" s="40">
        <v>0</v>
      </c>
      <c r="AK101" s="40">
        <f ca="1">SUM(FS!E101)</f>
        <v>306.67143780000004</v>
      </c>
      <c r="AL101" s="40">
        <f ca="1">SUM(IT!E101)</f>
        <v>79.591700482177941</v>
      </c>
      <c r="AM101" s="74"/>
      <c r="AN101" s="66">
        <f t="shared" si="32"/>
        <v>7084.2701287575192</v>
      </c>
    </row>
    <row r="102" spans="1:40">
      <c r="B102" s="10" t="s">
        <v>235</v>
      </c>
      <c r="C102" s="39">
        <f>SUM(C93:C101)</f>
        <v>0</v>
      </c>
      <c r="D102" s="39">
        <f>SUM(D93:D101)</f>
        <v>61115.123753881111</v>
      </c>
      <c r="E102" s="39">
        <f>SUM(E93:E101)</f>
        <v>101530.90558271931</v>
      </c>
      <c r="F102" s="39">
        <f>SUM(F93:F101)</f>
        <v>15975.817859377747</v>
      </c>
      <c r="G102" s="39">
        <f>SUM(G93:G101)</f>
        <v>12851.599270658089</v>
      </c>
      <c r="H102" s="78"/>
      <c r="I102" s="39">
        <f t="shared" ref="I102:Y102" si="46">SUM(I93:I101)</f>
        <v>16054.152472199998</v>
      </c>
      <c r="J102" s="39">
        <f t="shared" si="46"/>
        <v>17218.506405112501</v>
      </c>
      <c r="K102" s="39">
        <f t="shared" si="46"/>
        <v>17620.30235981831</v>
      </c>
      <c r="L102" s="39">
        <f t="shared" si="46"/>
        <v>10222.162516750312</v>
      </c>
      <c r="M102" s="39">
        <f t="shared" si="46"/>
        <v>17277.962236750311</v>
      </c>
      <c r="N102" s="39">
        <f t="shared" si="46"/>
        <v>17277.962236750311</v>
      </c>
      <c r="O102" s="39">
        <f t="shared" si="46"/>
        <v>17598.646770910793</v>
      </c>
      <c r="P102" s="39">
        <f t="shared" si="46"/>
        <v>17277.962236750311</v>
      </c>
      <c r="Q102" s="39">
        <f t="shared" si="46"/>
        <v>0</v>
      </c>
      <c r="R102" s="39">
        <f t="shared" si="46"/>
        <v>0</v>
      </c>
      <c r="S102" s="39">
        <f t="shared" si="46"/>
        <v>0</v>
      </c>
      <c r="T102" s="39">
        <f t="shared" si="46"/>
        <v>0</v>
      </c>
      <c r="U102" s="39">
        <f t="shared" si="46"/>
        <v>10067.662289512498</v>
      </c>
      <c r="V102" s="39">
        <f t="shared" si="46"/>
        <v>3887.6531999999997</v>
      </c>
      <c r="W102" s="39">
        <f t="shared" si="46"/>
        <v>5111.0812583751558</v>
      </c>
      <c r="X102" s="39">
        <f t="shared" si="46"/>
        <v>4514.3498677574989</v>
      </c>
      <c r="Y102" s="39">
        <f t="shared" si="46"/>
        <v>8517.6254859124347</v>
      </c>
      <c r="Z102" s="74"/>
      <c r="AA102" s="39">
        <f t="shared" ref="AA102:AF102" si="47">+SUM(AA93:AA101)</f>
        <v>2980.361794782782</v>
      </c>
      <c r="AB102" s="54">
        <f t="shared" si="47"/>
        <v>5831.7626395405105</v>
      </c>
      <c r="AC102" s="39">
        <f t="shared" si="47"/>
        <v>4765.0923137</v>
      </c>
      <c r="AD102" s="39">
        <f t="shared" si="47"/>
        <v>5241.7224944305099</v>
      </c>
      <c r="AE102" s="39">
        <f t="shared" si="47"/>
        <v>1783.1370807200001</v>
      </c>
      <c r="AF102" s="39">
        <f t="shared" si="47"/>
        <v>2692.6549960000002</v>
      </c>
      <c r="AG102" s="39">
        <f t="shared" ref="AG102:AL102" si="48">+SUM(AG93:AG101)</f>
        <v>2580.7715760000006</v>
      </c>
      <c r="AH102" s="39">
        <f t="shared" si="48"/>
        <v>3592.8127272727274</v>
      </c>
      <c r="AI102" s="39">
        <f t="shared" si="48"/>
        <v>14760.727392800001</v>
      </c>
      <c r="AJ102" s="39">
        <f t="shared" si="48"/>
        <v>0</v>
      </c>
      <c r="AK102" s="39">
        <f t="shared" si="48"/>
        <v>13834.712428400002</v>
      </c>
      <c r="AL102" s="39">
        <f t="shared" si="48"/>
        <v>2573.7104167174498</v>
      </c>
      <c r="AM102" s="74"/>
      <c r="AN102" s="57">
        <f>SUM(AN93:AN101)</f>
        <v>252110.91232700023</v>
      </c>
    </row>
    <row r="103" spans="1:40">
      <c r="C103" s="39"/>
      <c r="D103" s="39"/>
      <c r="E103" s="39"/>
      <c r="F103" s="39"/>
      <c r="G103" s="39"/>
      <c r="H103" s="7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74"/>
      <c r="AA103" s="39"/>
      <c r="AB103" s="54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74"/>
      <c r="AN103" s="57"/>
    </row>
    <row r="104" spans="1:40" s="4" customFormat="1" ht="10.5">
      <c r="A104" s="14"/>
      <c r="B104" s="14" t="s">
        <v>236</v>
      </c>
      <c r="C104" s="41">
        <f>SUM(C90+C102)</f>
        <v>0</v>
      </c>
      <c r="D104" s="41">
        <f t="shared" ref="D104:Y104" si="49">SUM(D90+D102)</f>
        <v>289153.13817075605</v>
      </c>
      <c r="E104" s="41">
        <f t="shared" si="49"/>
        <v>470820.67253532517</v>
      </c>
      <c r="F104" s="41">
        <f t="shared" si="49"/>
        <v>70865.452794971759</v>
      </c>
      <c r="G104" s="41">
        <f t="shared" si="49"/>
        <v>72851.238297820673</v>
      </c>
      <c r="H104" s="81"/>
      <c r="I104" s="41">
        <f t="shared" si="49"/>
        <v>71748.115472199992</v>
      </c>
      <c r="J104" s="41">
        <f t="shared" si="49"/>
        <v>80706.003092612489</v>
      </c>
      <c r="K104" s="41">
        <f>SUM(K90+K102)</f>
        <v>83797.196334505788</v>
      </c>
      <c r="L104" s="41">
        <f t="shared" si="49"/>
        <v>52901.823271437795</v>
      </c>
      <c r="M104" s="41">
        <f t="shared" si="49"/>
        <v>81163.422991437808</v>
      </c>
      <c r="N104" s="41">
        <f t="shared" si="49"/>
        <v>81163.422991437808</v>
      </c>
      <c r="O104" s="41">
        <f t="shared" si="49"/>
        <v>83630.59035130433</v>
      </c>
      <c r="P104" s="41">
        <f t="shared" si="49"/>
        <v>80883.422991437808</v>
      </c>
      <c r="Q104" s="41">
        <f t="shared" si="49"/>
        <v>0</v>
      </c>
      <c r="R104" s="41">
        <f t="shared" si="49"/>
        <v>0</v>
      </c>
      <c r="S104" s="41">
        <f t="shared" si="49"/>
        <v>0</v>
      </c>
      <c r="T104" s="41">
        <f t="shared" si="49"/>
        <v>0</v>
      </c>
      <c r="U104" s="41">
        <f t="shared" si="49"/>
        <v>51713.18497701249</v>
      </c>
      <c r="V104" s="41">
        <f t="shared" si="49"/>
        <v>3887.6531999999997</v>
      </c>
      <c r="W104" s="41">
        <f t="shared" si="49"/>
        <v>26590.911635718898</v>
      </c>
      <c r="X104" s="41">
        <f t="shared" si="49"/>
        <v>21999.994230257493</v>
      </c>
      <c r="Y104" s="41">
        <f t="shared" si="49"/>
        <v>39788.06916671856</v>
      </c>
      <c r="Z104" s="77"/>
      <c r="AA104" s="57">
        <f t="shared" ref="AA104:AF104" si="50">SUM(AA90+AA102)</f>
        <v>18971.068950411925</v>
      </c>
      <c r="AB104" s="57">
        <f t="shared" si="50"/>
        <v>32218.309088941522</v>
      </c>
      <c r="AC104" s="57">
        <f t="shared" si="50"/>
        <v>27434.7365637</v>
      </c>
      <c r="AD104" s="57">
        <f t="shared" si="50"/>
        <v>31623.439803079338</v>
      </c>
      <c r="AE104" s="57">
        <f t="shared" si="50"/>
        <v>9893.830880720001</v>
      </c>
      <c r="AF104" s="57">
        <f t="shared" si="50"/>
        <v>16442.654996000001</v>
      </c>
      <c r="AG104" s="41">
        <f t="shared" ref="AG104:AL104" si="51">+AG90+AG102</f>
        <v>21602.811576</v>
      </c>
      <c r="AH104" s="41">
        <f t="shared" si="51"/>
        <v>31471.600606060609</v>
      </c>
      <c r="AI104" s="41">
        <f t="shared" si="51"/>
        <v>62968.739392800002</v>
      </c>
      <c r="AJ104" s="41">
        <f t="shared" si="51"/>
        <v>0</v>
      </c>
      <c r="AK104" s="41">
        <f t="shared" si="51"/>
        <v>57104.498428400009</v>
      </c>
      <c r="AL104" s="41">
        <f t="shared" si="51"/>
        <v>13476.683085508948</v>
      </c>
      <c r="AM104" s="77"/>
      <c r="AN104" s="41">
        <f>+AN90+AN102</f>
        <v>1226898.8751704958</v>
      </c>
    </row>
    <row r="105" spans="1:40">
      <c r="C105" s="39"/>
      <c r="D105" s="39"/>
      <c r="E105" s="39"/>
      <c r="F105" s="39"/>
      <c r="G105" s="39"/>
      <c r="H105" s="7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74"/>
      <c r="AA105" s="39"/>
      <c r="AB105" s="54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74"/>
      <c r="AN105" s="57"/>
    </row>
    <row r="106" spans="1:40">
      <c r="A106" s="10" t="s">
        <v>237</v>
      </c>
      <c r="C106" s="39"/>
      <c r="D106" s="39"/>
      <c r="E106" s="39"/>
      <c r="F106" s="39"/>
      <c r="G106" s="39"/>
      <c r="H106" s="7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74"/>
      <c r="AA106" s="39"/>
      <c r="AB106" s="54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74"/>
      <c r="AN106" s="57"/>
    </row>
    <row r="107" spans="1:40">
      <c r="A107" s="10" t="s">
        <v>238</v>
      </c>
      <c r="C107" s="39"/>
      <c r="D107" s="39"/>
      <c r="E107" s="39"/>
      <c r="F107" s="39"/>
      <c r="G107" s="39"/>
      <c r="H107" s="7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74"/>
      <c r="AA107" s="39"/>
      <c r="AB107" s="54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74"/>
      <c r="AN107" s="57"/>
    </row>
    <row r="108" spans="1:40">
      <c r="A108" s="10" t="s">
        <v>51</v>
      </c>
      <c r="B108" s="10" t="s">
        <v>50</v>
      </c>
      <c r="C108" s="39"/>
      <c r="D108" s="39">
        <f t="shared" ref="D108:D121" si="52">SUM(I108:L108)</f>
        <v>0</v>
      </c>
      <c r="E108" s="39">
        <f t="shared" ref="E108:E121" si="53">SUM(M108:Y108)</f>
        <v>0</v>
      </c>
      <c r="F108" s="39"/>
      <c r="G108" s="39"/>
      <c r="H108" s="7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74"/>
      <c r="AA108" s="61">
        <f ca="1">SUM('AC-SVC'!C108)</f>
        <v>0</v>
      </c>
      <c r="AB108" s="61">
        <f ca="1">SUM('AC-SVC'!D108)</f>
        <v>0</v>
      </c>
      <c r="AC108" s="61">
        <f ca="1">SUM('AC-SVC'!E108)</f>
        <v>0</v>
      </c>
      <c r="AD108" s="61">
        <f ca="1">SUM('AC-SVC'!F108)</f>
        <v>0</v>
      </c>
      <c r="AE108" s="61">
        <f ca="1">SUM('AC-SVC'!G108)</f>
        <v>0</v>
      </c>
      <c r="AF108" s="61">
        <f ca="1">SUM('AC-SVC'!H108)</f>
        <v>0</v>
      </c>
      <c r="AG108" s="61">
        <f ca="1">SUM(PT!D108)</f>
        <v>0</v>
      </c>
      <c r="AH108" s="61">
        <f ca="1">SUM(CCLC!D108)</f>
        <v>7484.8484848484841</v>
      </c>
      <c r="AI108" s="61">
        <f ca="1">SUM(FC!E108)</f>
        <v>0</v>
      </c>
      <c r="AJ108" s="61">
        <v>0</v>
      </c>
      <c r="AK108" s="61">
        <f ca="1">SUM(FS!E108)</f>
        <v>0</v>
      </c>
      <c r="AL108" s="61">
        <f ca="1">SUM(IT!E108)</f>
        <v>30093.75</v>
      </c>
      <c r="AM108" s="74"/>
      <c r="AN108" s="67">
        <f t="shared" ref="AN108:AN121" si="54">SUM(C108:G108)+SUM(AA108:AL108)</f>
        <v>37578.59848484848</v>
      </c>
    </row>
    <row r="109" spans="1:40">
      <c r="A109" s="10" t="s">
        <v>41</v>
      </c>
      <c r="B109" s="10" t="s">
        <v>42</v>
      </c>
      <c r="C109" s="39"/>
      <c r="D109" s="39">
        <f t="shared" si="52"/>
        <v>0</v>
      </c>
      <c r="E109" s="39">
        <f t="shared" si="53"/>
        <v>10000</v>
      </c>
      <c r="F109" s="39"/>
      <c r="G109" s="39"/>
      <c r="H109" s="7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>
        <v>10000</v>
      </c>
      <c r="W109" s="39"/>
      <c r="X109" s="39"/>
      <c r="Y109" s="39"/>
      <c r="Z109" s="74"/>
      <c r="AA109" s="61">
        <f ca="1">SUM('AC-SVC'!C109)*AA7</f>
        <v>1875</v>
      </c>
      <c r="AB109" s="61">
        <f ca="1">SUM('AC-SVC'!D109)</f>
        <v>2500</v>
      </c>
      <c r="AC109" s="61">
        <f ca="1">SUM('AC-SVC'!E109)*AC7</f>
        <v>3000</v>
      </c>
      <c r="AD109" s="61">
        <f ca="1">SUM('AC-SVC'!F109)</f>
        <v>0</v>
      </c>
      <c r="AE109" s="61">
        <f ca="1">SUM('AC-SVC'!G109)</f>
        <v>0</v>
      </c>
      <c r="AF109" s="61">
        <f ca="1">SUM('AC-SVC'!H109)</f>
        <v>0</v>
      </c>
      <c r="AG109" s="61">
        <f ca="1">SUM(PT!D109)</f>
        <v>0</v>
      </c>
      <c r="AH109" s="61">
        <f ca="1">SUM(CCLC!D109)</f>
        <v>35610.651974288339</v>
      </c>
      <c r="AI109" s="61">
        <f ca="1">SUM(FC!E109)</f>
        <v>0</v>
      </c>
      <c r="AJ109" s="61">
        <v>0</v>
      </c>
      <c r="AK109" s="61">
        <f ca="1">SUM(FS!E109)</f>
        <v>0</v>
      </c>
      <c r="AL109" s="61">
        <f ca="1">SUM(IT!E109)</f>
        <v>0</v>
      </c>
      <c r="AM109" s="74"/>
      <c r="AN109" s="67">
        <f t="shared" si="54"/>
        <v>52985.651974288339</v>
      </c>
    </row>
    <row r="110" spans="1:40">
      <c r="A110" s="10" t="s">
        <v>43</v>
      </c>
      <c r="B110" s="10" t="s">
        <v>239</v>
      </c>
      <c r="C110" s="39"/>
      <c r="D110" s="39">
        <f t="shared" si="52"/>
        <v>1600</v>
      </c>
      <c r="E110" s="39">
        <f t="shared" si="53"/>
        <v>3200</v>
      </c>
      <c r="F110" s="39"/>
      <c r="G110" s="39"/>
      <c r="H110" s="78"/>
      <c r="I110" s="39">
        <v>400</v>
      </c>
      <c r="J110" s="39">
        <v>400</v>
      </c>
      <c r="K110" s="39">
        <v>400</v>
      </c>
      <c r="L110" s="39">
        <v>400</v>
      </c>
      <c r="M110" s="39">
        <v>400</v>
      </c>
      <c r="N110" s="39">
        <v>400</v>
      </c>
      <c r="O110" s="39">
        <v>400</v>
      </c>
      <c r="P110" s="39">
        <v>400</v>
      </c>
      <c r="Q110" s="39">
        <v>0</v>
      </c>
      <c r="R110" s="39">
        <v>0</v>
      </c>
      <c r="S110" s="39">
        <v>0</v>
      </c>
      <c r="T110" s="39">
        <v>0</v>
      </c>
      <c r="U110" s="39">
        <v>400</v>
      </c>
      <c r="V110" s="39">
        <v>0</v>
      </c>
      <c r="W110" s="39">
        <v>400</v>
      </c>
      <c r="X110" s="39">
        <v>400</v>
      </c>
      <c r="Y110" s="39">
        <v>400</v>
      </c>
      <c r="Z110" s="74"/>
      <c r="AA110" s="61">
        <f ca="1">SUM('AC-SVC'!C110)</f>
        <v>0</v>
      </c>
      <c r="AB110" s="61">
        <f ca="1">SUM('AC-SVC'!D110)</f>
        <v>0</v>
      </c>
      <c r="AC110" s="61">
        <f ca="1">SUM('AC-SVC'!E110)</f>
        <v>0</v>
      </c>
      <c r="AD110" s="61">
        <f ca="1">SUM('AC-SVC'!F110)</f>
        <v>0</v>
      </c>
      <c r="AE110" s="61">
        <f ca="1">SUM('AC-SVC'!G110)</f>
        <v>0</v>
      </c>
      <c r="AF110" s="61">
        <f ca="1">SUM('AC-SVC'!H110)</f>
        <v>500</v>
      </c>
      <c r="AG110" s="61">
        <f ca="1">SUM(PT!D110)</f>
        <v>0</v>
      </c>
      <c r="AH110" s="61">
        <f ca="1">SUM(CCLC!D110)</f>
        <v>303.030303030303</v>
      </c>
      <c r="AI110" s="61">
        <f ca="1">SUM(FC!E110)</f>
        <v>0</v>
      </c>
      <c r="AJ110" s="61">
        <v>0</v>
      </c>
      <c r="AK110" s="61">
        <f ca="1">SUM(FS!E110)</f>
        <v>150</v>
      </c>
      <c r="AL110" s="61">
        <f ca="1">SUM(IT!E110)</f>
        <v>125</v>
      </c>
      <c r="AM110" s="74"/>
      <c r="AN110" s="67">
        <f t="shared" si="54"/>
        <v>5878.030303030303</v>
      </c>
    </row>
    <row r="111" spans="1:40">
      <c r="A111" s="10" t="s">
        <v>44</v>
      </c>
      <c r="B111" s="10" t="s">
        <v>45</v>
      </c>
      <c r="C111" s="39"/>
      <c r="D111" s="39">
        <f t="shared" si="52"/>
        <v>0</v>
      </c>
      <c r="E111" s="39">
        <f t="shared" si="53"/>
        <v>0</v>
      </c>
      <c r="F111" s="39"/>
      <c r="G111" s="39"/>
      <c r="H111" s="7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74"/>
      <c r="AA111" s="61">
        <f ca="1">SUM('AC-SVC'!C111)</f>
        <v>0</v>
      </c>
      <c r="AB111" s="61">
        <f ca="1">SUM('AC-SVC'!D111)</f>
        <v>0</v>
      </c>
      <c r="AC111" s="61">
        <f ca="1">SUM('AC-SVC'!E111)</f>
        <v>0</v>
      </c>
      <c r="AD111" s="61">
        <f ca="1">SUM('AC-SVC'!F111)</f>
        <v>0</v>
      </c>
      <c r="AE111" s="61">
        <f ca="1">SUM('AC-SVC'!G111)</f>
        <v>0</v>
      </c>
      <c r="AF111" s="61">
        <f ca="1">SUM('AC-SVC'!H111)</f>
        <v>0</v>
      </c>
      <c r="AG111" s="61">
        <f ca="1">SUM(PT!D111)</f>
        <v>0</v>
      </c>
      <c r="AH111" s="61">
        <f ca="1">SUM(CCLC!D111)</f>
        <v>0</v>
      </c>
      <c r="AI111" s="61">
        <f ca="1">SUM(FC!E111)</f>
        <v>1000</v>
      </c>
      <c r="AJ111" s="61">
        <v>0</v>
      </c>
      <c r="AK111" s="61">
        <f ca="1">SUM(FS!E111)</f>
        <v>0</v>
      </c>
      <c r="AL111" s="61">
        <f ca="1">SUM(IT!E111)</f>
        <v>0</v>
      </c>
      <c r="AM111" s="74"/>
      <c r="AN111" s="67">
        <f t="shared" si="54"/>
        <v>1000</v>
      </c>
    </row>
    <row r="112" spans="1:40">
      <c r="A112" s="10" t="s">
        <v>46</v>
      </c>
      <c r="B112" s="10" t="s">
        <v>240</v>
      </c>
      <c r="C112" s="39"/>
      <c r="D112" s="39">
        <f t="shared" si="52"/>
        <v>0</v>
      </c>
      <c r="E112" s="39">
        <f t="shared" si="53"/>
        <v>0</v>
      </c>
      <c r="F112" s="39"/>
      <c r="G112" s="39"/>
      <c r="H112" s="7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74"/>
      <c r="AA112" s="61">
        <f ca="1">SUM('AC-SVC'!C112)</f>
        <v>0</v>
      </c>
      <c r="AB112" s="61">
        <f ca="1">SUM('AC-SVC'!D112)</f>
        <v>0</v>
      </c>
      <c r="AC112" s="61">
        <f ca="1">SUM('AC-SVC'!E112)</f>
        <v>0</v>
      </c>
      <c r="AD112" s="61">
        <f ca="1">SUM('AC-SVC'!F112)</f>
        <v>0</v>
      </c>
      <c r="AE112" s="61">
        <f ca="1">SUM('AC-SVC'!G112)</f>
        <v>0</v>
      </c>
      <c r="AF112" s="61">
        <f ca="1">SUM('AC-SVC'!H112)</f>
        <v>0</v>
      </c>
      <c r="AG112" s="61">
        <f ca="1">SUM(PT!D112)</f>
        <v>0</v>
      </c>
      <c r="AH112" s="61">
        <f ca="1">SUM(CCLC!D112)</f>
        <v>0</v>
      </c>
      <c r="AI112" s="61">
        <f ca="1">SUM(FC!E112)</f>
        <v>0</v>
      </c>
      <c r="AJ112" s="61">
        <v>0</v>
      </c>
      <c r="AK112" s="61">
        <f ca="1">SUM(FS!E112)</f>
        <v>0</v>
      </c>
      <c r="AL112" s="61">
        <f ca="1">SUM(IT!E112)</f>
        <v>0</v>
      </c>
      <c r="AM112" s="74"/>
      <c r="AN112" s="67">
        <f t="shared" si="54"/>
        <v>0</v>
      </c>
    </row>
    <row r="113" spans="1:40">
      <c r="A113" s="10" t="s">
        <v>47</v>
      </c>
      <c r="B113" s="10" t="s">
        <v>241</v>
      </c>
      <c r="C113" s="39"/>
      <c r="D113" s="39">
        <f t="shared" si="52"/>
        <v>0</v>
      </c>
      <c r="E113" s="39">
        <f t="shared" si="53"/>
        <v>0</v>
      </c>
      <c r="F113" s="39"/>
      <c r="G113" s="39"/>
      <c r="H113" s="7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74"/>
      <c r="AA113" s="61">
        <f ca="1">SUM('AC-SVC'!C113)</f>
        <v>0</v>
      </c>
      <c r="AB113" s="61">
        <f ca="1">SUM('AC-SVC'!D113)</f>
        <v>0</v>
      </c>
      <c r="AC113" s="61">
        <f ca="1">SUM('AC-SVC'!E113)</f>
        <v>0</v>
      </c>
      <c r="AD113" s="61">
        <f ca="1">SUM('AC-SVC'!F113)</f>
        <v>0</v>
      </c>
      <c r="AE113" s="61">
        <f ca="1">SUM('AC-SVC'!G113)</f>
        <v>0</v>
      </c>
      <c r="AF113" s="61">
        <f ca="1">SUM('AC-SVC'!H113)</f>
        <v>0</v>
      </c>
      <c r="AG113" s="61">
        <f ca="1">SUM(PT!D113)</f>
        <v>0</v>
      </c>
      <c r="AH113" s="61">
        <f ca="1">SUM(CCLC!D113)</f>
        <v>606.06060606060498</v>
      </c>
      <c r="AI113" s="61">
        <f ca="1">SUM(FC!E113)</f>
        <v>0</v>
      </c>
      <c r="AJ113" s="61">
        <v>0</v>
      </c>
      <c r="AK113" s="61">
        <f ca="1">SUM(FS!E113)</f>
        <v>0</v>
      </c>
      <c r="AL113" s="61">
        <f ca="1">SUM(IT!E113)</f>
        <v>0</v>
      </c>
      <c r="AM113" s="74"/>
      <c r="AN113" s="67">
        <f t="shared" si="54"/>
        <v>606.06060606060498</v>
      </c>
    </row>
    <row r="114" spans="1:40">
      <c r="A114" s="10" t="s">
        <v>48</v>
      </c>
      <c r="B114" s="10" t="s">
        <v>49</v>
      </c>
      <c r="C114" s="39"/>
      <c r="D114" s="39">
        <f t="shared" si="52"/>
        <v>0</v>
      </c>
      <c r="E114" s="39">
        <f t="shared" si="53"/>
        <v>0</v>
      </c>
      <c r="F114" s="39"/>
      <c r="G114" s="39"/>
      <c r="H114" s="7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>
        <v>0</v>
      </c>
      <c r="U114" s="39"/>
      <c r="V114" s="39"/>
      <c r="W114" s="39"/>
      <c r="X114" s="39"/>
      <c r="Y114" s="39"/>
      <c r="Z114" s="74"/>
      <c r="AA114" s="61">
        <f ca="1">SUM('AC-SVC'!C114)</f>
        <v>0</v>
      </c>
      <c r="AB114" s="61">
        <f ca="1">SUM('AC-SVC'!D114)</f>
        <v>0</v>
      </c>
      <c r="AC114" s="61">
        <f ca="1">SUM('AC-SVC'!E114)</f>
        <v>0</v>
      </c>
      <c r="AD114" s="61">
        <f ca="1">SUM('AC-SVC'!F114)</f>
        <v>0</v>
      </c>
      <c r="AE114" s="61">
        <f ca="1">SUM('AC-SVC'!G114)</f>
        <v>0</v>
      </c>
      <c r="AF114" s="61">
        <f ca="1">SUM('AC-SVC'!H114)</f>
        <v>0</v>
      </c>
      <c r="AG114" s="61">
        <f ca="1">SUM(PT!D114)</f>
        <v>0</v>
      </c>
      <c r="AH114" s="61">
        <f ca="1">SUM(CCLC!D114)</f>
        <v>0</v>
      </c>
      <c r="AI114" s="61">
        <f ca="1">SUM(FC!E114)</f>
        <v>4300</v>
      </c>
      <c r="AJ114" s="61">
        <v>0</v>
      </c>
      <c r="AK114" s="61">
        <f ca="1">SUM(FS!E114)</f>
        <v>0</v>
      </c>
      <c r="AL114" s="61">
        <f ca="1">SUM(IT!E114)</f>
        <v>1700</v>
      </c>
      <c r="AM114" s="74"/>
      <c r="AN114" s="67">
        <f t="shared" si="54"/>
        <v>6000</v>
      </c>
    </row>
    <row r="115" spans="1:40">
      <c r="A115" s="10" t="s">
        <v>82</v>
      </c>
      <c r="B115" s="10" t="s">
        <v>166</v>
      </c>
      <c r="C115" s="39"/>
      <c r="D115" s="39">
        <f t="shared" ref="D115:D120" si="55">SUM(I115:L115)</f>
        <v>200</v>
      </c>
      <c r="E115" s="39">
        <f t="shared" ref="E115:E120" si="56">SUM(M115:Y115)</f>
        <v>400</v>
      </c>
      <c r="F115" s="39"/>
      <c r="G115" s="39"/>
      <c r="H115" s="78"/>
      <c r="I115" s="39">
        <v>50</v>
      </c>
      <c r="J115" s="39">
        <v>50</v>
      </c>
      <c r="K115" s="39">
        <v>50</v>
      </c>
      <c r="L115" s="39">
        <v>50</v>
      </c>
      <c r="M115" s="39">
        <v>50</v>
      </c>
      <c r="N115" s="39">
        <v>50</v>
      </c>
      <c r="O115" s="39">
        <v>50</v>
      </c>
      <c r="P115" s="39">
        <v>50</v>
      </c>
      <c r="Q115" s="39">
        <v>0</v>
      </c>
      <c r="R115" s="39">
        <v>0</v>
      </c>
      <c r="S115" s="39">
        <v>0</v>
      </c>
      <c r="T115" s="39">
        <v>0</v>
      </c>
      <c r="U115" s="39">
        <v>50</v>
      </c>
      <c r="V115" s="39">
        <v>0</v>
      </c>
      <c r="W115" s="39">
        <v>50</v>
      </c>
      <c r="X115" s="39">
        <v>50</v>
      </c>
      <c r="Y115" s="39">
        <v>50</v>
      </c>
      <c r="Z115" s="74"/>
      <c r="AA115" s="61">
        <f ca="1">SUM('AC-SVC'!C115)</f>
        <v>0</v>
      </c>
      <c r="AB115" s="61">
        <f ca="1">SUM('AC-SVC'!D115)</f>
        <v>0</v>
      </c>
      <c r="AC115" s="61">
        <f ca="1">SUM('AC-SVC'!E115)</f>
        <v>0</v>
      </c>
      <c r="AD115" s="61">
        <f ca="1">SUM('AC-SVC'!F115)</f>
        <v>0</v>
      </c>
      <c r="AE115" s="61">
        <f ca="1">SUM('AC-SVC'!G115)</f>
        <v>0</v>
      </c>
      <c r="AF115" s="61">
        <f ca="1">SUM('AC-SVC'!H115)</f>
        <v>0</v>
      </c>
      <c r="AG115" s="61">
        <f ca="1">SUM(PT!D115)</f>
        <v>0</v>
      </c>
      <c r="AH115" s="61">
        <f ca="1">SUM(CCLC!D115)</f>
        <v>0</v>
      </c>
      <c r="AI115" s="61">
        <f ca="1">SUM(FC!E115)</f>
        <v>0</v>
      </c>
      <c r="AJ115" s="61">
        <v>0</v>
      </c>
      <c r="AK115" s="61">
        <f ca="1">SUM(FS!E115)</f>
        <v>0</v>
      </c>
      <c r="AL115" s="61">
        <f ca="1">SUM(IT!E115)</f>
        <v>0</v>
      </c>
      <c r="AM115" s="74"/>
      <c r="AN115" s="67">
        <f t="shared" si="54"/>
        <v>600</v>
      </c>
    </row>
    <row r="116" spans="1:40">
      <c r="A116" s="10" t="s">
        <v>104</v>
      </c>
      <c r="B116" s="10" t="s">
        <v>103</v>
      </c>
      <c r="C116" s="39"/>
      <c r="D116" s="39">
        <f t="shared" si="55"/>
        <v>0</v>
      </c>
      <c r="E116" s="39">
        <f t="shared" si="56"/>
        <v>0</v>
      </c>
      <c r="F116" s="39"/>
      <c r="G116" s="39"/>
      <c r="H116" s="7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>
        <v>0</v>
      </c>
      <c r="U116" s="39"/>
      <c r="V116" s="39"/>
      <c r="W116" s="39"/>
      <c r="X116" s="39"/>
      <c r="Y116" s="39"/>
      <c r="Z116" s="74"/>
      <c r="AA116" s="61">
        <f ca="1">SUM('AC-SVC'!C116)</f>
        <v>0</v>
      </c>
      <c r="AB116" s="61">
        <f ca="1">SUM('AC-SVC'!D116)</f>
        <v>0</v>
      </c>
      <c r="AC116" s="61">
        <f ca="1">SUM('AC-SVC'!E116)</f>
        <v>0</v>
      </c>
      <c r="AD116" s="61">
        <f ca="1">SUM('AC-SVC'!F116)</f>
        <v>0</v>
      </c>
      <c r="AE116" s="61">
        <f ca="1">SUM('AC-SVC'!G116)</f>
        <v>0</v>
      </c>
      <c r="AF116" s="61">
        <f ca="1">SUM('AC-SVC'!H116)</f>
        <v>0</v>
      </c>
      <c r="AG116" s="61">
        <f ca="1">SUM(PT!D116)</f>
        <v>0</v>
      </c>
      <c r="AH116" s="61">
        <f ca="1">SUM(CCLC!D116)</f>
        <v>75.757575757576006</v>
      </c>
      <c r="AI116" s="61">
        <f ca="1">SUM(FC!E116)</f>
        <v>0</v>
      </c>
      <c r="AJ116" s="61">
        <v>0</v>
      </c>
      <c r="AK116" s="61">
        <f ca="1">SUM(FS!E116)</f>
        <v>0</v>
      </c>
      <c r="AL116" s="61">
        <f ca="1">SUM(IT!E116)</f>
        <v>0</v>
      </c>
      <c r="AM116" s="74"/>
      <c r="AN116" s="67">
        <f t="shared" si="54"/>
        <v>75.757575757576006</v>
      </c>
    </row>
    <row r="117" spans="1:40">
      <c r="A117" s="10" t="s">
        <v>59</v>
      </c>
      <c r="B117" s="10" t="s">
        <v>321</v>
      </c>
      <c r="C117" s="39"/>
      <c r="D117" s="39">
        <f t="shared" si="55"/>
        <v>0</v>
      </c>
      <c r="E117" s="39">
        <f t="shared" si="56"/>
        <v>0</v>
      </c>
      <c r="F117" s="39"/>
      <c r="G117" s="39"/>
      <c r="H117" s="7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74"/>
      <c r="AA117" s="61">
        <f ca="1">SUM('AC-SVC'!C117)</f>
        <v>0</v>
      </c>
      <c r="AB117" s="61">
        <f ca="1">SUM('AC-SVC'!D117)</f>
        <v>0</v>
      </c>
      <c r="AC117" s="61">
        <f ca="1">SUM('AC-SVC'!E117)</f>
        <v>0</v>
      </c>
      <c r="AD117" s="61">
        <f ca="1">SUM('AC-SVC'!F117)</f>
        <v>0</v>
      </c>
      <c r="AE117" s="61">
        <f ca="1">SUM('AC-SVC'!G117)</f>
        <v>0</v>
      </c>
      <c r="AF117" s="61">
        <f ca="1">SUM('AC-SVC'!H117)</f>
        <v>0</v>
      </c>
      <c r="AG117" s="61">
        <f ca="1">SUM(PT!D117)</f>
        <v>0</v>
      </c>
      <c r="AH117" s="61">
        <f ca="1">SUM(CCLC!D117)</f>
        <v>0</v>
      </c>
      <c r="AI117" s="61">
        <f ca="1">SUM(FC!E117)</f>
        <v>792</v>
      </c>
      <c r="AJ117" s="61">
        <v>0</v>
      </c>
      <c r="AK117" s="61">
        <f ca="1">SUM(FS!E117)</f>
        <v>0</v>
      </c>
      <c r="AL117" s="61">
        <f ca="1">SUM(IT!E117)</f>
        <v>0</v>
      </c>
      <c r="AM117" s="74"/>
      <c r="AN117" s="67">
        <f t="shared" si="54"/>
        <v>792</v>
      </c>
    </row>
    <row r="118" spans="1:40">
      <c r="A118" s="10" t="s">
        <v>87</v>
      </c>
      <c r="B118" s="10" t="s">
        <v>88</v>
      </c>
      <c r="C118" s="39"/>
      <c r="D118" s="39">
        <f t="shared" si="55"/>
        <v>0</v>
      </c>
      <c r="E118" s="39">
        <f t="shared" si="56"/>
        <v>0</v>
      </c>
      <c r="F118" s="39"/>
      <c r="G118" s="39"/>
      <c r="H118" s="7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74"/>
      <c r="AA118" s="61">
        <f ca="1">SUM('AC-SVC'!C118)</f>
        <v>0</v>
      </c>
      <c r="AB118" s="61">
        <f ca="1">SUM('AC-SVC'!D118)</f>
        <v>0</v>
      </c>
      <c r="AC118" s="61">
        <f ca="1">SUM('AC-SVC'!E118)</f>
        <v>0</v>
      </c>
      <c r="AD118" s="61">
        <f ca="1">SUM('AC-SVC'!F118)</f>
        <v>0</v>
      </c>
      <c r="AE118" s="61">
        <f ca="1">SUM('AC-SVC'!G118)</f>
        <v>0</v>
      </c>
      <c r="AF118" s="61">
        <f ca="1">SUM('AC-SVC'!H118)</f>
        <v>0</v>
      </c>
      <c r="AG118" s="61">
        <f ca="1">SUM(PT!D118)</f>
        <v>0</v>
      </c>
      <c r="AH118" s="61">
        <f ca="1">SUM(CCLC!D118)</f>
        <v>0</v>
      </c>
      <c r="AI118" s="61">
        <f ca="1">SUM(FC!E118)</f>
        <v>0</v>
      </c>
      <c r="AJ118" s="61">
        <v>0</v>
      </c>
      <c r="AK118" s="61">
        <f ca="1">SUM(FS!E118)</f>
        <v>0</v>
      </c>
      <c r="AL118" s="61">
        <f ca="1">SUM(IT!E118)</f>
        <v>0</v>
      </c>
      <c r="AM118" s="74"/>
      <c r="AN118" s="67">
        <f t="shared" si="54"/>
        <v>0</v>
      </c>
    </row>
    <row r="119" spans="1:40">
      <c r="A119" s="10" t="s">
        <v>89</v>
      </c>
      <c r="B119" s="10" t="s">
        <v>90</v>
      </c>
      <c r="C119" s="39"/>
      <c r="D119" s="39">
        <f t="shared" si="55"/>
        <v>0</v>
      </c>
      <c r="E119" s="39">
        <f t="shared" si="56"/>
        <v>0</v>
      </c>
      <c r="F119" s="39"/>
      <c r="G119" s="39"/>
      <c r="H119" s="7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74"/>
      <c r="AA119" s="61">
        <f ca="1">SUM('AC-SVC'!C119)</f>
        <v>0</v>
      </c>
      <c r="AB119" s="61">
        <f ca="1">SUM('AC-SVC'!D119)</f>
        <v>0</v>
      </c>
      <c r="AC119" s="61">
        <f ca="1">SUM('AC-SVC'!E119)</f>
        <v>0</v>
      </c>
      <c r="AD119" s="61">
        <f ca="1">SUM('AC-SVC'!F119)</f>
        <v>0</v>
      </c>
      <c r="AE119" s="61">
        <f ca="1">SUM('AC-SVC'!G119)</f>
        <v>0</v>
      </c>
      <c r="AF119" s="61">
        <f ca="1">SUM('AC-SVC'!H119)</f>
        <v>0</v>
      </c>
      <c r="AG119" s="61">
        <f ca="1">SUM(PT!D119)</f>
        <v>0</v>
      </c>
      <c r="AH119" s="61">
        <f ca="1">SUM(CCLC!D119)</f>
        <v>0</v>
      </c>
      <c r="AI119" s="61">
        <f ca="1">SUM(FC!E119)</f>
        <v>0</v>
      </c>
      <c r="AJ119" s="61">
        <v>0</v>
      </c>
      <c r="AK119" s="61">
        <f ca="1">SUM(FS!E119)</f>
        <v>0</v>
      </c>
      <c r="AL119" s="61">
        <f ca="1">SUM(IT!E119)</f>
        <v>0</v>
      </c>
      <c r="AM119" s="74"/>
      <c r="AN119" s="67">
        <f t="shared" si="54"/>
        <v>0</v>
      </c>
    </row>
    <row r="120" spans="1:40">
      <c r="A120" s="10" t="s">
        <v>450</v>
      </c>
      <c r="B120" s="10" t="s">
        <v>451</v>
      </c>
      <c r="C120" s="39"/>
      <c r="D120" s="39">
        <f t="shared" si="55"/>
        <v>0</v>
      </c>
      <c r="E120" s="39">
        <f t="shared" si="56"/>
        <v>0</v>
      </c>
      <c r="F120" s="39"/>
      <c r="G120" s="39"/>
      <c r="H120" s="7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74"/>
      <c r="AA120" s="61">
        <f ca="1">SUM('AC-SVC'!C120)</f>
        <v>0</v>
      </c>
      <c r="AB120" s="61">
        <f ca="1">SUM('AC-SVC'!D120)</f>
        <v>0</v>
      </c>
      <c r="AC120" s="61">
        <f ca="1">SUM('AC-SVC'!E120)</f>
        <v>0</v>
      </c>
      <c r="AD120" s="61">
        <f ca="1">SUM('AC-SVC'!F120)</f>
        <v>0</v>
      </c>
      <c r="AE120" s="61">
        <f ca="1">SUM('AC-SVC'!G120)</f>
        <v>0</v>
      </c>
      <c r="AF120" s="61">
        <f ca="1">SUM('AC-SVC'!H120)</f>
        <v>0</v>
      </c>
      <c r="AG120" s="61">
        <f ca="1">SUM(PT!D120)</f>
        <v>0</v>
      </c>
      <c r="AH120" s="61">
        <f ca="1">SUM(CCLC!D120)</f>
        <v>340.90909090909093</v>
      </c>
      <c r="AI120" s="61">
        <f ca="1">SUM(FC!E120)</f>
        <v>0</v>
      </c>
      <c r="AJ120" s="61">
        <v>0</v>
      </c>
      <c r="AK120" s="61">
        <f ca="1">SUM(FS!E120)</f>
        <v>0</v>
      </c>
      <c r="AL120" s="61">
        <f ca="1">SUM(IT!E120)</f>
        <v>0</v>
      </c>
      <c r="AM120" s="74"/>
      <c r="AN120" s="67">
        <f t="shared" si="54"/>
        <v>340.90909090909093</v>
      </c>
    </row>
    <row r="121" spans="1:40">
      <c r="A121" s="10" t="s">
        <v>52</v>
      </c>
      <c r="B121" s="10" t="s">
        <v>53</v>
      </c>
      <c r="C121" s="40"/>
      <c r="D121" s="40">
        <f t="shared" si="52"/>
        <v>0</v>
      </c>
      <c r="E121" s="40">
        <f t="shared" si="53"/>
        <v>0</v>
      </c>
      <c r="F121" s="40"/>
      <c r="G121" s="40"/>
      <c r="H121" s="8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74"/>
      <c r="AA121" s="40">
        <f ca="1">SUM('AC-SVC'!C121)</f>
        <v>0</v>
      </c>
      <c r="AB121" s="40">
        <f ca="1">SUM('AC-SVC'!D121)</f>
        <v>0</v>
      </c>
      <c r="AC121" s="40">
        <f ca="1">SUM('AC-SVC'!E121)</f>
        <v>0</v>
      </c>
      <c r="AD121" s="40">
        <f ca="1">SUM('AC-SVC'!F121)</f>
        <v>0</v>
      </c>
      <c r="AE121" s="40">
        <f ca="1">SUM('AC-SVC'!G121)</f>
        <v>0</v>
      </c>
      <c r="AF121" s="40">
        <f ca="1">SUM('AC-SVC'!H121)</f>
        <v>0</v>
      </c>
      <c r="AG121" s="40">
        <f ca="1">SUM(PT!D121)</f>
        <v>4500</v>
      </c>
      <c r="AH121" s="40">
        <f ca="1">SUM(CCLC!D121)</f>
        <v>606.06060606060498</v>
      </c>
      <c r="AI121" s="40">
        <f ca="1">SUM(FC!E121)</f>
        <v>0</v>
      </c>
      <c r="AJ121" s="40">
        <v>0</v>
      </c>
      <c r="AK121" s="40">
        <f ca="1">SUM(FS!E121)</f>
        <v>0</v>
      </c>
      <c r="AL121" s="40">
        <f ca="1">SUM(IT!E121)</f>
        <v>0</v>
      </c>
      <c r="AM121" s="74"/>
      <c r="AN121" s="66">
        <f t="shared" si="54"/>
        <v>5106.0606060606051</v>
      </c>
    </row>
    <row r="122" spans="1:40">
      <c r="B122" s="10" t="s">
        <v>242</v>
      </c>
      <c r="C122" s="39">
        <f>SUM(C108:C121)</f>
        <v>0</v>
      </c>
      <c r="D122" s="39">
        <f>SUM(D108:D121)</f>
        <v>1800</v>
      </c>
      <c r="E122" s="39">
        <f>SUM(E108:E121)</f>
        <v>13600</v>
      </c>
      <c r="F122" s="39">
        <f>SUM(F108:F121)</f>
        <v>0</v>
      </c>
      <c r="G122" s="39">
        <f>SUM(G108:G121)</f>
        <v>0</v>
      </c>
      <c r="H122" s="78"/>
      <c r="I122" s="39">
        <f t="shared" ref="I122:Y122" si="57">SUM(I108:I121)</f>
        <v>450</v>
      </c>
      <c r="J122" s="39">
        <f t="shared" si="57"/>
        <v>450</v>
      </c>
      <c r="K122" s="39">
        <f t="shared" si="57"/>
        <v>450</v>
      </c>
      <c r="L122" s="39">
        <f t="shared" si="57"/>
        <v>450</v>
      </c>
      <c r="M122" s="39">
        <f t="shared" si="57"/>
        <v>450</v>
      </c>
      <c r="N122" s="39">
        <f t="shared" si="57"/>
        <v>450</v>
      </c>
      <c r="O122" s="39">
        <f t="shared" si="57"/>
        <v>450</v>
      </c>
      <c r="P122" s="39">
        <f t="shared" si="57"/>
        <v>450</v>
      </c>
      <c r="Q122" s="39">
        <f t="shared" si="57"/>
        <v>0</v>
      </c>
      <c r="R122" s="39">
        <f t="shared" si="57"/>
        <v>0</v>
      </c>
      <c r="S122" s="39">
        <f t="shared" si="57"/>
        <v>0</v>
      </c>
      <c r="T122" s="39">
        <f t="shared" si="57"/>
        <v>0</v>
      </c>
      <c r="U122" s="39">
        <f t="shared" si="57"/>
        <v>450</v>
      </c>
      <c r="V122" s="39">
        <f t="shared" si="57"/>
        <v>10000</v>
      </c>
      <c r="W122" s="39">
        <f t="shared" si="57"/>
        <v>450</v>
      </c>
      <c r="X122" s="39">
        <f t="shared" si="57"/>
        <v>450</v>
      </c>
      <c r="Y122" s="39">
        <f t="shared" si="57"/>
        <v>450</v>
      </c>
      <c r="Z122" s="74"/>
      <c r="AA122" s="39">
        <f>+SUM(AA108:AA121)</f>
        <v>1875</v>
      </c>
      <c r="AB122" s="39">
        <f t="shared" ref="AB122:AL122" si="58">+SUM(AB108:AB121)</f>
        <v>2500</v>
      </c>
      <c r="AC122" s="39">
        <f t="shared" si="58"/>
        <v>3000</v>
      </c>
      <c r="AD122" s="39">
        <f t="shared" si="58"/>
        <v>0</v>
      </c>
      <c r="AE122" s="39">
        <f t="shared" si="58"/>
        <v>0</v>
      </c>
      <c r="AF122" s="39">
        <f>+SUM(AF108:AF121)</f>
        <v>500</v>
      </c>
      <c r="AG122" s="39">
        <f t="shared" si="58"/>
        <v>4500</v>
      </c>
      <c r="AH122" s="39">
        <f t="shared" si="58"/>
        <v>45027.318640955004</v>
      </c>
      <c r="AI122" s="39">
        <f t="shared" si="58"/>
        <v>6092</v>
      </c>
      <c r="AJ122" s="39">
        <f t="shared" si="58"/>
        <v>0</v>
      </c>
      <c r="AK122" s="39">
        <f t="shared" si="58"/>
        <v>150</v>
      </c>
      <c r="AL122" s="39">
        <f t="shared" si="58"/>
        <v>31918.75</v>
      </c>
      <c r="AM122" s="74"/>
      <c r="AN122" s="57">
        <f>SUM(AN108:AN121)</f>
        <v>110963.06864095501</v>
      </c>
    </row>
    <row r="123" spans="1:40">
      <c r="C123" s="39"/>
      <c r="D123" s="39"/>
      <c r="E123" s="39"/>
      <c r="F123" s="39"/>
      <c r="G123" s="39"/>
      <c r="H123" s="7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74"/>
      <c r="AA123" s="39"/>
      <c r="AB123" s="54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74"/>
      <c r="AN123" s="57"/>
    </row>
    <row r="124" spans="1:40">
      <c r="A124" s="10" t="s">
        <v>243</v>
      </c>
      <c r="C124" s="39"/>
      <c r="D124" s="39"/>
      <c r="E124" s="39"/>
      <c r="F124" s="39"/>
      <c r="G124" s="39"/>
      <c r="H124" s="7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74"/>
      <c r="AA124" s="39"/>
      <c r="AB124" s="54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74"/>
      <c r="AN124" s="57"/>
    </row>
    <row r="125" spans="1:40">
      <c r="A125" s="10" t="s">
        <v>56</v>
      </c>
      <c r="B125" s="10" t="s">
        <v>246</v>
      </c>
      <c r="C125" s="39"/>
      <c r="D125" s="39">
        <f t="shared" ref="D125:D132" si="59">SUM(I125:L125)</f>
        <v>0</v>
      </c>
      <c r="E125" s="39">
        <f t="shared" ref="E125:E132" si="60">SUM(M125:Y125)</f>
        <v>0</v>
      </c>
      <c r="F125" s="39"/>
      <c r="G125" s="39"/>
      <c r="H125" s="7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74"/>
      <c r="AA125" s="61">
        <f ca="1">SUM('AC-SVC'!C125)</f>
        <v>0</v>
      </c>
      <c r="AB125" s="61">
        <f ca="1">SUM('AC-SVC'!D125)</f>
        <v>0</v>
      </c>
      <c r="AC125" s="61">
        <f ca="1">SUM('AC-SVC'!E125)</f>
        <v>0</v>
      </c>
      <c r="AD125" s="61">
        <f ca="1">SUM('AC-SVC'!F125)</f>
        <v>0</v>
      </c>
      <c r="AE125" s="61">
        <f ca="1">SUM('AC-SVC'!G125)</f>
        <v>0</v>
      </c>
      <c r="AF125" s="61">
        <f ca="1">SUM('AC-SVC'!H125)</f>
        <v>0</v>
      </c>
      <c r="AG125" s="61">
        <f ca="1">SUM(PT!D125)</f>
        <v>0</v>
      </c>
      <c r="AH125" s="61">
        <f ca="1">SUM(CCLC!D125)</f>
        <v>0</v>
      </c>
      <c r="AI125" s="61">
        <f ca="1">SUM(FC!E125)</f>
        <v>3000</v>
      </c>
      <c r="AJ125" s="61">
        <v>0</v>
      </c>
      <c r="AK125" s="61">
        <f ca="1">SUM(FS!E125)</f>
        <v>0</v>
      </c>
      <c r="AL125" s="61">
        <f ca="1">SUM(IT!E125)</f>
        <v>0</v>
      </c>
      <c r="AM125" s="74"/>
      <c r="AN125" s="67">
        <f t="shared" ref="AN125:AN132" si="61">SUM(C125:G125)+SUM(AA125:AL125)</f>
        <v>3000</v>
      </c>
    </row>
    <row r="126" spans="1:40">
      <c r="A126" s="10" t="s">
        <v>57</v>
      </c>
      <c r="B126" s="10" t="s">
        <v>247</v>
      </c>
      <c r="C126" s="39"/>
      <c r="D126" s="39">
        <f t="shared" si="59"/>
        <v>0</v>
      </c>
      <c r="E126" s="39">
        <f t="shared" si="60"/>
        <v>0</v>
      </c>
      <c r="F126" s="39"/>
      <c r="G126" s="39"/>
      <c r="H126" s="7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74"/>
      <c r="AA126" s="61">
        <f ca="1">SUM('AC-SVC'!C126)</f>
        <v>0</v>
      </c>
      <c r="AB126" s="61">
        <f ca="1">SUM('AC-SVC'!D126)</f>
        <v>0</v>
      </c>
      <c r="AC126" s="61">
        <f ca="1">SUM('AC-SVC'!E126)</f>
        <v>0</v>
      </c>
      <c r="AD126" s="61">
        <f ca="1">SUM('AC-SVC'!F126)</f>
        <v>0</v>
      </c>
      <c r="AE126" s="61">
        <f ca="1">SUM('AC-SVC'!G126)</f>
        <v>0</v>
      </c>
      <c r="AF126" s="61">
        <f ca="1">SUM('AC-SVC'!H126)</f>
        <v>0</v>
      </c>
      <c r="AG126" s="61">
        <f ca="1">SUM(PT!D126)</f>
        <v>0</v>
      </c>
      <c r="AH126" s="61">
        <f ca="1">SUM(CCLC!D126)</f>
        <v>0</v>
      </c>
      <c r="AI126" s="61">
        <f ca="1">SUM(FC!E126)</f>
        <v>4800</v>
      </c>
      <c r="AJ126" s="61">
        <v>0</v>
      </c>
      <c r="AK126" s="61">
        <f ca="1">SUM(FS!E126)</f>
        <v>0</v>
      </c>
      <c r="AL126" s="61">
        <f ca="1">SUM(IT!E126)</f>
        <v>0</v>
      </c>
      <c r="AM126" s="74"/>
      <c r="AN126" s="67">
        <f t="shared" si="61"/>
        <v>4800</v>
      </c>
    </row>
    <row r="127" spans="1:40">
      <c r="A127" s="10" t="s">
        <v>58</v>
      </c>
      <c r="B127" s="10" t="s">
        <v>248</v>
      </c>
      <c r="C127" s="39"/>
      <c r="D127" s="39">
        <f t="shared" si="59"/>
        <v>0</v>
      </c>
      <c r="E127" s="39">
        <f t="shared" si="60"/>
        <v>0</v>
      </c>
      <c r="F127" s="39"/>
      <c r="G127" s="39"/>
      <c r="H127" s="7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74"/>
      <c r="AA127" s="61">
        <f ca="1">SUM('AC-SVC'!C127)</f>
        <v>0</v>
      </c>
      <c r="AB127" s="61">
        <f ca="1">SUM('AC-SVC'!D127)</f>
        <v>0</v>
      </c>
      <c r="AC127" s="61">
        <f ca="1">SUM('AC-SVC'!E127)</f>
        <v>0</v>
      </c>
      <c r="AD127" s="61">
        <f ca="1">SUM('AC-SVC'!F127)</f>
        <v>0</v>
      </c>
      <c r="AE127" s="61">
        <f ca="1">SUM('AC-SVC'!G127)</f>
        <v>0</v>
      </c>
      <c r="AF127" s="61">
        <f ca="1">SUM('AC-SVC'!H127)</f>
        <v>0</v>
      </c>
      <c r="AG127" s="61">
        <f ca="1">SUM(PT!D127)</f>
        <v>0</v>
      </c>
      <c r="AH127" s="61">
        <f ca="1">SUM(CCLC!D127)</f>
        <v>2327.2727272727248</v>
      </c>
      <c r="AI127" s="61">
        <f ca="1">SUM(FC!E127)</f>
        <v>0</v>
      </c>
      <c r="AJ127" s="61">
        <v>0</v>
      </c>
      <c r="AK127" s="61">
        <f ca="1">SUM(FS!E127)</f>
        <v>0</v>
      </c>
      <c r="AL127" s="61">
        <f ca="1">SUM(IT!E127)</f>
        <v>0</v>
      </c>
      <c r="AM127" s="74"/>
      <c r="AN127" s="67">
        <f t="shared" si="61"/>
        <v>2327.2727272727248</v>
      </c>
    </row>
    <row r="128" spans="1:40">
      <c r="A128" s="10" t="s">
        <v>55</v>
      </c>
      <c r="B128" s="10" t="s">
        <v>245</v>
      </c>
      <c r="C128" s="39"/>
      <c r="D128" s="39">
        <f t="shared" si="59"/>
        <v>0</v>
      </c>
      <c r="E128" s="39">
        <f t="shared" si="60"/>
        <v>0</v>
      </c>
      <c r="F128" s="39"/>
      <c r="G128" s="39"/>
      <c r="H128" s="7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74"/>
      <c r="AA128" s="61">
        <f ca="1">SUM('AC-SVC'!C128)</f>
        <v>0</v>
      </c>
      <c r="AB128" s="61">
        <f ca="1">SUM('AC-SVC'!D128)</f>
        <v>0</v>
      </c>
      <c r="AC128" s="61">
        <f ca="1">SUM('AC-SVC'!E128)</f>
        <v>0</v>
      </c>
      <c r="AD128" s="61">
        <f ca="1">SUM('AC-SVC'!F128)</f>
        <v>0</v>
      </c>
      <c r="AE128" s="61">
        <f ca="1">SUM('AC-SVC'!G128)</f>
        <v>0</v>
      </c>
      <c r="AF128" s="61">
        <f ca="1">SUM('AC-SVC'!H128)</f>
        <v>0</v>
      </c>
      <c r="AG128" s="61">
        <f ca="1">SUM(PT!D128)</f>
        <v>0</v>
      </c>
      <c r="AH128" s="61">
        <f ca="1">SUM(CCLC!D128)</f>
        <v>0</v>
      </c>
      <c r="AI128" s="61">
        <f ca="1">SUM(FC!E128)</f>
        <v>3000</v>
      </c>
      <c r="AJ128" s="61">
        <v>0</v>
      </c>
      <c r="AK128" s="61">
        <f ca="1">SUM(FS!E128)</f>
        <v>0</v>
      </c>
      <c r="AL128" s="61">
        <f ca="1">SUM(IT!E128)</f>
        <v>0</v>
      </c>
      <c r="AM128" s="74"/>
      <c r="AN128" s="67">
        <f t="shared" si="61"/>
        <v>3000</v>
      </c>
    </row>
    <row r="129" spans="1:40" ht="10.5" customHeight="1">
      <c r="A129" s="10" t="s">
        <v>54</v>
      </c>
      <c r="B129" s="10" t="s">
        <v>244</v>
      </c>
      <c r="C129" s="39"/>
      <c r="D129" s="39">
        <f t="shared" si="59"/>
        <v>0</v>
      </c>
      <c r="E129" s="39">
        <f t="shared" si="60"/>
        <v>0</v>
      </c>
      <c r="F129" s="39"/>
      <c r="G129" s="39"/>
      <c r="H129" s="7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74"/>
      <c r="AA129" s="61">
        <f ca="1">SUM('AC-SVC'!C129)</f>
        <v>0</v>
      </c>
      <c r="AB129" s="61">
        <f ca="1">SUM('AC-SVC'!D129)</f>
        <v>0</v>
      </c>
      <c r="AC129" s="61">
        <f ca="1">SUM('AC-SVC'!E129)</f>
        <v>0</v>
      </c>
      <c r="AD129" s="61">
        <f ca="1">SUM('AC-SVC'!F129)</f>
        <v>0</v>
      </c>
      <c r="AE129" s="61">
        <f ca="1">SUM('AC-SVC'!G129)</f>
        <v>0</v>
      </c>
      <c r="AF129" s="61">
        <f ca="1">SUM('AC-SVC'!H129)</f>
        <v>0</v>
      </c>
      <c r="AG129" s="61">
        <f ca="1">SUM(PT!D129)</f>
        <v>0</v>
      </c>
      <c r="AH129" s="61">
        <f ca="1">SUM(CCLC!D129)</f>
        <v>0</v>
      </c>
      <c r="AI129" s="61">
        <f ca="1">SUM(FC!E129)</f>
        <v>20000</v>
      </c>
      <c r="AJ129" s="61">
        <v>0</v>
      </c>
      <c r="AK129" s="61">
        <f ca="1">SUM(FS!E129)</f>
        <v>0</v>
      </c>
      <c r="AL129" s="61">
        <f ca="1">SUM(IT!E129)</f>
        <v>0</v>
      </c>
      <c r="AM129" s="74"/>
      <c r="AN129" s="67">
        <f t="shared" si="61"/>
        <v>20000</v>
      </c>
    </row>
    <row r="130" spans="1:40">
      <c r="A130" s="10" t="s">
        <v>60</v>
      </c>
      <c r="B130" s="10" t="s">
        <v>61</v>
      </c>
      <c r="C130" s="39">
        <f>250*12</f>
        <v>3000</v>
      </c>
      <c r="D130" s="39">
        <f t="shared" si="59"/>
        <v>0</v>
      </c>
      <c r="E130" s="39">
        <f t="shared" si="60"/>
        <v>0</v>
      </c>
      <c r="F130" s="39"/>
      <c r="G130" s="39"/>
      <c r="H130" s="7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74"/>
      <c r="AA130" s="61">
        <f ca="1">SUM('AC-SVC'!C130)</f>
        <v>0</v>
      </c>
      <c r="AB130" s="61">
        <f ca="1">SUM('AC-SVC'!D130)</f>
        <v>0</v>
      </c>
      <c r="AC130" s="61">
        <f ca="1">SUM('AC-SVC'!E130)</f>
        <v>0</v>
      </c>
      <c r="AD130" s="61">
        <f ca="1">SUM('AC-SVC'!F130)</f>
        <v>0</v>
      </c>
      <c r="AE130" s="61">
        <f ca="1">SUM('AC-SVC'!G130)</f>
        <v>0</v>
      </c>
      <c r="AF130" s="61">
        <f ca="1">SUM('AC-SVC'!H130)</f>
        <v>0</v>
      </c>
      <c r="AG130" s="61">
        <f ca="1">SUM(PT!D130)</f>
        <v>0</v>
      </c>
      <c r="AH130" s="61">
        <f ca="1">SUM(CCLC!D130)</f>
        <v>0</v>
      </c>
      <c r="AI130" s="61">
        <f ca="1">SUM(FC!E130)</f>
        <v>155000</v>
      </c>
      <c r="AJ130" s="61">
        <v>0</v>
      </c>
      <c r="AK130" s="61">
        <f ca="1">SUM(FS!E130)</f>
        <v>750</v>
      </c>
      <c r="AL130" s="61">
        <f ca="1">SUM(IT!E130)</f>
        <v>0</v>
      </c>
      <c r="AM130" s="74"/>
      <c r="AN130" s="67">
        <f t="shared" si="61"/>
        <v>158750</v>
      </c>
    </row>
    <row r="131" spans="1:40">
      <c r="A131" s="10" t="s">
        <v>448</v>
      </c>
      <c r="B131" s="10" t="s">
        <v>449</v>
      </c>
      <c r="C131" s="39"/>
      <c r="D131" s="39">
        <f>SUM(I131:L131)</f>
        <v>0</v>
      </c>
      <c r="E131" s="39">
        <f>SUM(M131:Y131)</f>
        <v>0</v>
      </c>
      <c r="F131" s="39"/>
      <c r="G131" s="39"/>
      <c r="H131" s="7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74"/>
      <c r="AA131" s="61">
        <f ca="1">SUM('AC-SVC'!C131)</f>
        <v>0</v>
      </c>
      <c r="AB131" s="61">
        <f ca="1">SUM('AC-SVC'!D131)</f>
        <v>0</v>
      </c>
      <c r="AC131" s="61">
        <f ca="1">SUM('AC-SVC'!E131)</f>
        <v>0</v>
      </c>
      <c r="AD131" s="61">
        <f ca="1">SUM('AC-SVC'!F131)</f>
        <v>0</v>
      </c>
      <c r="AE131" s="61">
        <f ca="1">SUM('AC-SVC'!G131)</f>
        <v>0</v>
      </c>
      <c r="AF131" s="61">
        <f ca="1">SUM('AC-SVC'!H131)</f>
        <v>0</v>
      </c>
      <c r="AG131" s="61">
        <f ca="1">SUM(PT!D131)</f>
        <v>0</v>
      </c>
      <c r="AH131" s="61">
        <f ca="1">SUM(CCLC!D131)</f>
        <v>0</v>
      </c>
      <c r="AI131" s="61">
        <f ca="1">SUM(FC!E131)</f>
        <v>131920</v>
      </c>
      <c r="AJ131" s="61">
        <v>0</v>
      </c>
      <c r="AK131" s="61">
        <f ca="1">SUM(FS!E131)</f>
        <v>0</v>
      </c>
      <c r="AL131" s="61">
        <f ca="1">SUM(IT!E131)</f>
        <v>0</v>
      </c>
      <c r="AM131" s="74"/>
      <c r="AN131" s="67">
        <f t="shared" si="61"/>
        <v>131920</v>
      </c>
    </row>
    <row r="132" spans="1:40">
      <c r="A132" s="10" t="s">
        <v>62</v>
      </c>
      <c r="B132" s="10" t="s">
        <v>249</v>
      </c>
      <c r="C132" s="40"/>
      <c r="D132" s="40">
        <f t="shared" si="59"/>
        <v>0</v>
      </c>
      <c r="E132" s="40">
        <f t="shared" si="60"/>
        <v>0</v>
      </c>
      <c r="F132" s="40"/>
      <c r="G132" s="40"/>
      <c r="H132" s="8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74"/>
      <c r="AA132" s="40">
        <f ca="1">SUM('AC-SVC'!C132)</f>
        <v>0</v>
      </c>
      <c r="AB132" s="40">
        <f ca="1">SUM('AC-SVC'!D132)</f>
        <v>0</v>
      </c>
      <c r="AC132" s="40">
        <f ca="1">SUM('AC-SVC'!E132)</f>
        <v>0</v>
      </c>
      <c r="AD132" s="40">
        <f ca="1">SUM('AC-SVC'!F132)</f>
        <v>0</v>
      </c>
      <c r="AE132" s="40">
        <f ca="1">SUM('AC-SVC'!G132)</f>
        <v>0</v>
      </c>
      <c r="AF132" s="40">
        <f ca="1">SUM('AC-SVC'!H132)</f>
        <v>0</v>
      </c>
      <c r="AG132" s="40">
        <f ca="1">SUM(PT!D132)</f>
        <v>0</v>
      </c>
      <c r="AH132" s="40">
        <f ca="1">SUM(CCLC!D132)</f>
        <v>0</v>
      </c>
      <c r="AI132" s="40">
        <f ca="1">SUM(FC!E132)</f>
        <v>1500</v>
      </c>
      <c r="AJ132" s="40">
        <v>0</v>
      </c>
      <c r="AK132" s="40">
        <f ca="1">SUM(FS!E132)</f>
        <v>0</v>
      </c>
      <c r="AL132" s="40">
        <f ca="1">SUM(IT!E132)</f>
        <v>0</v>
      </c>
      <c r="AM132" s="74"/>
      <c r="AN132" s="66">
        <f t="shared" si="61"/>
        <v>1500</v>
      </c>
    </row>
    <row r="133" spans="1:40">
      <c r="B133" s="10" t="s">
        <v>250</v>
      </c>
      <c r="C133" s="39">
        <f>SUM(C125:C132)</f>
        <v>3000</v>
      </c>
      <c r="D133" s="39">
        <f>SUM(D125:D132)</f>
        <v>0</v>
      </c>
      <c r="E133" s="39">
        <f>SUM(E125:E132)</f>
        <v>0</v>
      </c>
      <c r="F133" s="39">
        <f>SUM(F125:F132)</f>
        <v>0</v>
      </c>
      <c r="G133" s="39">
        <f>SUM(G125:G132)</f>
        <v>0</v>
      </c>
      <c r="H133" s="78"/>
      <c r="I133" s="39">
        <f t="shared" ref="I133:Y133" si="62">SUM(I125:I132)</f>
        <v>0</v>
      </c>
      <c r="J133" s="39">
        <f t="shared" si="62"/>
        <v>0</v>
      </c>
      <c r="K133" s="39">
        <f t="shared" si="62"/>
        <v>0</v>
      </c>
      <c r="L133" s="39">
        <f t="shared" si="62"/>
        <v>0</v>
      </c>
      <c r="M133" s="39">
        <f t="shared" si="62"/>
        <v>0</v>
      </c>
      <c r="N133" s="39">
        <f t="shared" si="62"/>
        <v>0</v>
      </c>
      <c r="O133" s="39">
        <f t="shared" si="62"/>
        <v>0</v>
      </c>
      <c r="P133" s="39">
        <f t="shared" si="62"/>
        <v>0</v>
      </c>
      <c r="Q133" s="39">
        <f t="shared" si="62"/>
        <v>0</v>
      </c>
      <c r="R133" s="39">
        <f t="shared" si="62"/>
        <v>0</v>
      </c>
      <c r="S133" s="39">
        <f t="shared" si="62"/>
        <v>0</v>
      </c>
      <c r="T133" s="39">
        <f t="shared" si="62"/>
        <v>0</v>
      </c>
      <c r="U133" s="39">
        <f t="shared" si="62"/>
        <v>0</v>
      </c>
      <c r="V133" s="39">
        <f t="shared" si="62"/>
        <v>0</v>
      </c>
      <c r="W133" s="39">
        <f t="shared" si="62"/>
        <v>0</v>
      </c>
      <c r="X133" s="39">
        <f t="shared" si="62"/>
        <v>0</v>
      </c>
      <c r="Y133" s="39">
        <f t="shared" si="62"/>
        <v>0</v>
      </c>
      <c r="Z133" s="74"/>
      <c r="AA133" s="39">
        <f>SUM(AA125:AA132)</f>
        <v>0</v>
      </c>
      <c r="AB133" s="39">
        <f t="shared" ref="AB133:AL133" si="63">SUM(AB125:AB132)</f>
        <v>0</v>
      </c>
      <c r="AC133" s="39">
        <f t="shared" si="63"/>
        <v>0</v>
      </c>
      <c r="AD133" s="39">
        <f t="shared" si="63"/>
        <v>0</v>
      </c>
      <c r="AE133" s="39">
        <f t="shared" si="63"/>
        <v>0</v>
      </c>
      <c r="AF133" s="39">
        <f>SUM(AF125:AF132)</f>
        <v>0</v>
      </c>
      <c r="AG133" s="39">
        <f t="shared" si="63"/>
        <v>0</v>
      </c>
      <c r="AH133" s="39">
        <f t="shared" si="63"/>
        <v>2327.2727272727248</v>
      </c>
      <c r="AI133" s="39">
        <f t="shared" si="63"/>
        <v>319220</v>
      </c>
      <c r="AJ133" s="39">
        <f t="shared" si="63"/>
        <v>0</v>
      </c>
      <c r="AK133" s="39">
        <f t="shared" si="63"/>
        <v>750</v>
      </c>
      <c r="AL133" s="39">
        <f t="shared" si="63"/>
        <v>0</v>
      </c>
      <c r="AM133" s="74"/>
      <c r="AN133" s="57">
        <f>SUM(AN125:AN132)</f>
        <v>325297.27272727271</v>
      </c>
    </row>
    <row r="134" spans="1:40">
      <c r="C134" s="39"/>
      <c r="D134" s="39"/>
      <c r="E134" s="39"/>
      <c r="F134" s="39"/>
      <c r="G134" s="39"/>
      <c r="H134" s="7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74"/>
      <c r="AA134" s="39"/>
      <c r="AB134" s="54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74"/>
      <c r="AN134" s="57"/>
    </row>
    <row r="135" spans="1:40">
      <c r="A135" s="10" t="s">
        <v>251</v>
      </c>
      <c r="C135" s="39"/>
      <c r="D135" s="39"/>
      <c r="E135" s="39"/>
      <c r="F135" s="39"/>
      <c r="G135" s="39"/>
      <c r="H135" s="7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74"/>
      <c r="AA135" s="39"/>
      <c r="AB135" s="54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74"/>
      <c r="AN135" s="57"/>
    </row>
    <row r="136" spans="1:40">
      <c r="A136" s="10" t="s">
        <v>252</v>
      </c>
      <c r="C136" s="39"/>
      <c r="D136" s="39"/>
      <c r="E136" s="39"/>
      <c r="F136" s="39"/>
      <c r="G136" s="39"/>
      <c r="H136" s="7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74"/>
      <c r="AA136" s="39"/>
      <c r="AB136" s="54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74"/>
      <c r="AN136" s="57"/>
    </row>
    <row r="137" spans="1:40">
      <c r="A137" s="10" t="s">
        <v>63</v>
      </c>
      <c r="B137" s="10" t="s">
        <v>253</v>
      </c>
      <c r="C137" s="39"/>
      <c r="D137" s="39">
        <f>SUM(I137:L137)</f>
        <v>0</v>
      </c>
      <c r="E137" s="39">
        <f>SUM(M137:Y137)</f>
        <v>0</v>
      </c>
      <c r="F137" s="39"/>
      <c r="G137" s="39"/>
      <c r="H137" s="7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74"/>
      <c r="AA137" s="61">
        <f ca="1">SUM('AC-SVC'!C137)</f>
        <v>0</v>
      </c>
      <c r="AB137" s="61">
        <f ca="1">SUM('AC-SVC'!D137)</f>
        <v>0</v>
      </c>
      <c r="AC137" s="61">
        <f ca="1">SUM('AC-SVC'!E137)</f>
        <v>0</v>
      </c>
      <c r="AD137" s="61">
        <f ca="1">SUM('AC-SVC'!F137)</f>
        <v>0</v>
      </c>
      <c r="AE137" s="61">
        <f ca="1">SUM('AC-SVC'!G137)</f>
        <v>0</v>
      </c>
      <c r="AF137" s="61">
        <f ca="1">SUM('AC-SVC'!H137)</f>
        <v>0</v>
      </c>
      <c r="AG137" s="61">
        <f ca="1">SUM(PT!D137)</f>
        <v>0</v>
      </c>
      <c r="AH137" s="61">
        <f ca="1">SUM(CCLC!D137)</f>
        <v>0</v>
      </c>
      <c r="AI137" s="61">
        <f ca="1">SUM(FC!E137)</f>
        <v>0</v>
      </c>
      <c r="AJ137" s="61">
        <v>0</v>
      </c>
      <c r="AK137" s="61">
        <f ca="1">SUM(FS!E137)</f>
        <v>0</v>
      </c>
      <c r="AL137" s="61">
        <f ca="1">SUM(IT!E137)</f>
        <v>0</v>
      </c>
      <c r="AM137" s="74"/>
      <c r="AN137" s="67">
        <f>SUM(C137:G137)+SUM(AA137:AL137)</f>
        <v>0</v>
      </c>
    </row>
    <row r="138" spans="1:40">
      <c r="A138" s="10" t="s">
        <v>64</v>
      </c>
      <c r="B138" s="10" t="s">
        <v>254</v>
      </c>
      <c r="C138" s="39"/>
      <c r="D138" s="39">
        <f>SUM(I138:L138)</f>
        <v>0</v>
      </c>
      <c r="E138" s="39">
        <f>SUM(M138:Y138)</f>
        <v>0</v>
      </c>
      <c r="F138" s="39"/>
      <c r="G138" s="39"/>
      <c r="H138" s="7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74"/>
      <c r="AA138" s="61">
        <f ca="1">SUM('AC-SVC'!C138)</f>
        <v>0</v>
      </c>
      <c r="AB138" s="61">
        <f ca="1">SUM('AC-SVC'!D138)</f>
        <v>0</v>
      </c>
      <c r="AC138" s="61">
        <f ca="1">SUM('AC-SVC'!E138)</f>
        <v>0</v>
      </c>
      <c r="AD138" s="61">
        <f ca="1">SUM('AC-SVC'!F138)</f>
        <v>0</v>
      </c>
      <c r="AE138" s="61">
        <f ca="1">SUM('AC-SVC'!G138)</f>
        <v>0</v>
      </c>
      <c r="AF138" s="61">
        <f ca="1">SUM('AC-SVC'!H138)</f>
        <v>0</v>
      </c>
      <c r="AG138" s="61">
        <f ca="1">SUM(PT!D138)</f>
        <v>0</v>
      </c>
      <c r="AH138" s="61">
        <f ca="1">SUM(CCLC!D138)</f>
        <v>0</v>
      </c>
      <c r="AI138" s="61">
        <f ca="1">SUM(FC!E138)</f>
        <v>29315.550000000003</v>
      </c>
      <c r="AJ138" s="61">
        <v>0</v>
      </c>
      <c r="AK138" s="61">
        <f ca="1">SUM(FS!E138)</f>
        <v>0</v>
      </c>
      <c r="AL138" s="61">
        <f ca="1">SUM(IT!E138)</f>
        <v>0</v>
      </c>
      <c r="AM138" s="74"/>
      <c r="AN138" s="67">
        <f>SUM(C138:G138)+SUM(AA138:AL138)</f>
        <v>29315.550000000003</v>
      </c>
    </row>
    <row r="139" spans="1:40">
      <c r="A139" s="10" t="s">
        <v>454</v>
      </c>
      <c r="B139" s="10" t="s">
        <v>455</v>
      </c>
      <c r="C139" s="39"/>
      <c r="D139" s="39">
        <f>SUM(I139:L139)</f>
        <v>0</v>
      </c>
      <c r="E139" s="39">
        <f>SUM(M139:Y139)</f>
        <v>0</v>
      </c>
      <c r="F139" s="39"/>
      <c r="G139" s="39"/>
      <c r="H139" s="7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74"/>
      <c r="AA139" s="61">
        <f ca="1">SUM('AC-SVC'!C139)</f>
        <v>0</v>
      </c>
      <c r="AB139" s="61">
        <f ca="1">SUM('AC-SVC'!D139)</f>
        <v>0</v>
      </c>
      <c r="AC139" s="61">
        <f ca="1">SUM('AC-SVC'!E139)</f>
        <v>0</v>
      </c>
      <c r="AD139" s="61">
        <f ca="1">SUM('AC-SVC'!F139)</f>
        <v>0</v>
      </c>
      <c r="AE139" s="61">
        <f ca="1">SUM('AC-SVC'!G139)</f>
        <v>0</v>
      </c>
      <c r="AF139" s="61">
        <f ca="1">SUM('AC-SVC'!H139)</f>
        <v>0</v>
      </c>
      <c r="AG139" s="61">
        <f ca="1">SUM(PT!D139)</f>
        <v>0</v>
      </c>
      <c r="AH139" s="61">
        <f ca="1">SUM(CCLC!D139)</f>
        <v>0</v>
      </c>
      <c r="AI139" s="61">
        <f ca="1">SUM(FC!E139)</f>
        <v>0</v>
      </c>
      <c r="AJ139" s="61">
        <v>0</v>
      </c>
      <c r="AK139" s="61">
        <f ca="1">SUM(FS!E139)</f>
        <v>0</v>
      </c>
      <c r="AL139" s="61">
        <f ca="1">SUM(IT!E139)</f>
        <v>0</v>
      </c>
      <c r="AM139" s="74"/>
      <c r="AN139" s="67">
        <f>SUM(C139:G139)+SUM(AA139:AL139)</f>
        <v>0</v>
      </c>
    </row>
    <row r="140" spans="1:40">
      <c r="A140" s="10" t="s">
        <v>65</v>
      </c>
      <c r="B140" s="10" t="s">
        <v>255</v>
      </c>
      <c r="C140" s="40"/>
      <c r="D140" s="40">
        <f>SUM(I140:L140)</f>
        <v>0</v>
      </c>
      <c r="E140" s="40">
        <f>SUM(M140:Y140)</f>
        <v>0</v>
      </c>
      <c r="F140" s="40"/>
      <c r="G140" s="40"/>
      <c r="H140" s="8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74"/>
      <c r="AA140" s="40">
        <f ca="1">SUM('AC-SVC'!C140)</f>
        <v>0</v>
      </c>
      <c r="AB140" s="40">
        <f ca="1">SUM('AC-SVC'!D140)</f>
        <v>0</v>
      </c>
      <c r="AC140" s="40">
        <f ca="1">SUM('AC-SVC'!E140)</f>
        <v>0</v>
      </c>
      <c r="AD140" s="40">
        <f ca="1">SUM('AC-SVC'!F140)</f>
        <v>0</v>
      </c>
      <c r="AE140" s="40">
        <f ca="1">SUM('AC-SVC'!G140)</f>
        <v>0</v>
      </c>
      <c r="AF140" s="40">
        <f ca="1">SUM('AC-SVC'!H140)</f>
        <v>0</v>
      </c>
      <c r="AG140" s="40">
        <f ca="1">SUM(PT!D140)</f>
        <v>0</v>
      </c>
      <c r="AH140" s="40">
        <f ca="1">SUM(CCLC!D140)</f>
        <v>0</v>
      </c>
      <c r="AI140" s="40">
        <f ca="1">SUM(FC!E140)</f>
        <v>0</v>
      </c>
      <c r="AJ140" s="40">
        <v>0</v>
      </c>
      <c r="AK140" s="40">
        <f ca="1">SUM(FS!E140)</f>
        <v>0</v>
      </c>
      <c r="AL140" s="40">
        <f ca="1">SUM(IT!E140)</f>
        <v>0</v>
      </c>
      <c r="AM140" s="74"/>
      <c r="AN140" s="66">
        <f>SUM(C140:G140)+SUM(AA140:AL140)</f>
        <v>0</v>
      </c>
    </row>
    <row r="141" spans="1:40">
      <c r="B141" s="10" t="s">
        <v>256</v>
      </c>
      <c r="C141" s="39">
        <f>SUM(C137:C140)</f>
        <v>0</v>
      </c>
      <c r="D141" s="39">
        <f>SUM(D137:D140)</f>
        <v>0</v>
      </c>
      <c r="E141" s="39">
        <f>SUM(E137:E140)</f>
        <v>0</v>
      </c>
      <c r="F141" s="39">
        <f>SUM(F137:F140)</f>
        <v>0</v>
      </c>
      <c r="G141" s="39">
        <f>SUM(G137:G140)</f>
        <v>0</v>
      </c>
      <c r="H141" s="78"/>
      <c r="I141" s="39">
        <f t="shared" ref="I141:Y141" si="64">SUM(I137:I140)</f>
        <v>0</v>
      </c>
      <c r="J141" s="39">
        <f t="shared" si="64"/>
        <v>0</v>
      </c>
      <c r="K141" s="39">
        <f t="shared" si="64"/>
        <v>0</v>
      </c>
      <c r="L141" s="39">
        <f t="shared" si="64"/>
        <v>0</v>
      </c>
      <c r="M141" s="39">
        <f t="shared" si="64"/>
        <v>0</v>
      </c>
      <c r="N141" s="39">
        <f t="shared" si="64"/>
        <v>0</v>
      </c>
      <c r="O141" s="39">
        <f t="shared" si="64"/>
        <v>0</v>
      </c>
      <c r="P141" s="39">
        <f t="shared" si="64"/>
        <v>0</v>
      </c>
      <c r="Q141" s="39">
        <f t="shared" si="64"/>
        <v>0</v>
      </c>
      <c r="R141" s="39">
        <f t="shared" si="64"/>
        <v>0</v>
      </c>
      <c r="S141" s="39">
        <f t="shared" si="64"/>
        <v>0</v>
      </c>
      <c r="T141" s="39">
        <f t="shared" si="64"/>
        <v>0</v>
      </c>
      <c r="U141" s="39">
        <f t="shared" si="64"/>
        <v>0</v>
      </c>
      <c r="V141" s="39">
        <f t="shared" si="64"/>
        <v>0</v>
      </c>
      <c r="W141" s="39">
        <f t="shared" si="64"/>
        <v>0</v>
      </c>
      <c r="X141" s="39">
        <f t="shared" si="64"/>
        <v>0</v>
      </c>
      <c r="Y141" s="39">
        <f t="shared" si="64"/>
        <v>0</v>
      </c>
      <c r="Z141" s="74"/>
      <c r="AA141" s="39">
        <f t="shared" ref="AA141:AL141" si="65">+SUM(AA137:AA140)</f>
        <v>0</v>
      </c>
      <c r="AB141" s="54">
        <f t="shared" si="65"/>
        <v>0</v>
      </c>
      <c r="AC141" s="39">
        <f t="shared" si="65"/>
        <v>0</v>
      </c>
      <c r="AD141" s="39">
        <f t="shared" si="65"/>
        <v>0</v>
      </c>
      <c r="AE141" s="39">
        <f t="shared" si="65"/>
        <v>0</v>
      </c>
      <c r="AF141" s="39">
        <f>+SUM(AF137:AF140)</f>
        <v>0</v>
      </c>
      <c r="AG141" s="39">
        <f t="shared" si="65"/>
        <v>0</v>
      </c>
      <c r="AH141" s="39">
        <f t="shared" si="65"/>
        <v>0</v>
      </c>
      <c r="AI141" s="39">
        <f t="shared" si="65"/>
        <v>29315.550000000003</v>
      </c>
      <c r="AJ141" s="39">
        <f t="shared" si="65"/>
        <v>0</v>
      </c>
      <c r="AK141" s="39">
        <f t="shared" si="65"/>
        <v>0</v>
      </c>
      <c r="AL141" s="39">
        <f t="shared" si="65"/>
        <v>0</v>
      </c>
      <c r="AM141" s="74"/>
      <c r="AN141" s="57">
        <f>SUM(AN137:AN140)</f>
        <v>29315.550000000003</v>
      </c>
    </row>
    <row r="142" spans="1:40">
      <c r="C142" s="39"/>
      <c r="D142" s="39"/>
      <c r="E142" s="39"/>
      <c r="F142" s="39"/>
      <c r="G142" s="39"/>
      <c r="H142" s="7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74"/>
      <c r="AA142" s="39"/>
      <c r="AB142" s="54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74"/>
      <c r="AN142" s="57"/>
    </row>
    <row r="143" spans="1:40">
      <c r="A143" s="10" t="s">
        <v>257</v>
      </c>
      <c r="C143" s="39"/>
      <c r="D143" s="39"/>
      <c r="E143" s="39"/>
      <c r="F143" s="39"/>
      <c r="G143" s="39"/>
      <c r="H143" s="7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74"/>
      <c r="AA143" s="39"/>
      <c r="AB143" s="54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74"/>
      <c r="AN143" s="57"/>
    </row>
    <row r="144" spans="1:40">
      <c r="A144" s="10" t="s">
        <v>66</v>
      </c>
      <c r="B144" s="10" t="s">
        <v>258</v>
      </c>
      <c r="C144" s="39"/>
      <c r="D144" s="39">
        <f t="shared" ref="D144:D149" si="66">SUM(I144:L144)</f>
        <v>0</v>
      </c>
      <c r="E144" s="39">
        <f t="shared" ref="E144:E149" si="67">SUM(M144:Y144)</f>
        <v>0</v>
      </c>
      <c r="F144" s="39"/>
      <c r="G144" s="39"/>
      <c r="H144" s="7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74"/>
      <c r="AA144" s="61">
        <f ca="1">SUM('AC-SVC'!C144)</f>
        <v>0</v>
      </c>
      <c r="AB144" s="61">
        <f ca="1">SUM('AC-SVC'!D144)</f>
        <v>0</v>
      </c>
      <c r="AC144" s="61">
        <f ca="1">SUM('AC-SVC'!E144)</f>
        <v>0</v>
      </c>
      <c r="AD144" s="61">
        <f ca="1">SUM('AC-SVC'!F144)</f>
        <v>0</v>
      </c>
      <c r="AE144" s="61">
        <f ca="1">SUM('AC-SVC'!G144)</f>
        <v>0</v>
      </c>
      <c r="AF144" s="61">
        <f ca="1">SUM('AC-SVC'!H144)</f>
        <v>0</v>
      </c>
      <c r="AG144" s="61">
        <f ca="1">SUM(PT!D144)</f>
        <v>0</v>
      </c>
      <c r="AH144" s="61">
        <f ca="1">SUM(CCLC!D144)</f>
        <v>0</v>
      </c>
      <c r="AI144" s="61">
        <f ca="1">SUM(FC!E144)</f>
        <v>0</v>
      </c>
      <c r="AJ144" s="61">
        <v>0</v>
      </c>
      <c r="AK144" s="61">
        <f ca="1">SUM(FS!E144)</f>
        <v>0</v>
      </c>
      <c r="AL144" s="61">
        <f ca="1">SUM(IT!E144)</f>
        <v>2622.9</v>
      </c>
      <c r="AM144" s="74"/>
      <c r="AN144" s="67">
        <f t="shared" ref="AN144:AN149" si="68">SUM(C144:G144)+SUM(AA144:AL144)</f>
        <v>2622.9</v>
      </c>
    </row>
    <row r="145" spans="1:40">
      <c r="A145" s="10" t="s">
        <v>67</v>
      </c>
      <c r="B145" s="10" t="s">
        <v>259</v>
      </c>
      <c r="C145" s="39"/>
      <c r="D145" s="39">
        <f t="shared" si="66"/>
        <v>0</v>
      </c>
      <c r="E145" s="39">
        <f t="shared" si="67"/>
        <v>0</v>
      </c>
      <c r="F145" s="39"/>
      <c r="G145" s="39"/>
      <c r="H145" s="7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74"/>
      <c r="AA145" s="61">
        <f ca="1">SUM('AC-SVC'!C145)</f>
        <v>0</v>
      </c>
      <c r="AB145" s="61">
        <f ca="1">SUM('AC-SVC'!D145)</f>
        <v>0</v>
      </c>
      <c r="AC145" s="61">
        <f ca="1">SUM('AC-SVC'!E145)</f>
        <v>0</v>
      </c>
      <c r="AD145" s="61">
        <f ca="1">SUM('AC-SVC'!F145)</f>
        <v>0</v>
      </c>
      <c r="AE145" s="61">
        <f ca="1">SUM('AC-SVC'!G145)</f>
        <v>0</v>
      </c>
      <c r="AF145" s="61">
        <f ca="1">SUM('AC-SVC'!H145)</f>
        <v>0</v>
      </c>
      <c r="AG145" s="61">
        <f ca="1">SUM(PT!D145)</f>
        <v>0</v>
      </c>
      <c r="AH145" s="61">
        <f ca="1">SUM(CCLC!D145)</f>
        <v>0</v>
      </c>
      <c r="AI145" s="61">
        <f ca="1">SUM(FC!E145)</f>
        <v>0</v>
      </c>
      <c r="AJ145" s="61">
        <v>0</v>
      </c>
      <c r="AK145" s="61">
        <f ca="1">SUM(FS!E145)</f>
        <v>0</v>
      </c>
      <c r="AL145" s="61">
        <f ca="1">SUM(IT!E145)</f>
        <v>0</v>
      </c>
      <c r="AM145" s="74"/>
      <c r="AN145" s="67">
        <f t="shared" si="68"/>
        <v>0</v>
      </c>
    </row>
    <row r="146" spans="1:40">
      <c r="A146" s="10" t="s">
        <v>68</v>
      </c>
      <c r="B146" s="10" t="s">
        <v>260</v>
      </c>
      <c r="C146" s="39"/>
      <c r="D146" s="39">
        <f t="shared" si="66"/>
        <v>0</v>
      </c>
      <c r="E146" s="39">
        <f t="shared" si="67"/>
        <v>0</v>
      </c>
      <c r="F146" s="39">
        <f>55*12</f>
        <v>660</v>
      </c>
      <c r="G146" s="39">
        <f>55*12</f>
        <v>660</v>
      </c>
      <c r="H146" s="7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74"/>
      <c r="AA146" s="61">
        <f ca="1">SUM('AC-SVC'!C146)</f>
        <v>0</v>
      </c>
      <c r="AB146" s="61">
        <f ca="1">SUM('AC-SVC'!D146)</f>
        <v>1320</v>
      </c>
      <c r="AC146" s="61">
        <f ca="1">SUM('AC-SVC'!E146)</f>
        <v>1320</v>
      </c>
      <c r="AD146" s="61">
        <f ca="1">SUM('AC-SVC'!F146)</f>
        <v>1320</v>
      </c>
      <c r="AE146" s="61">
        <f ca="1">SUM('AC-SVC'!G146)</f>
        <v>0</v>
      </c>
      <c r="AF146" s="61">
        <f ca="1">SUM('AC-SVC'!H146)</f>
        <v>660</v>
      </c>
      <c r="AG146" s="61">
        <f ca="1">SUM(PT!D146)</f>
        <v>0</v>
      </c>
      <c r="AH146" s="61">
        <f ca="1">SUM(CCLC!D146)</f>
        <v>0</v>
      </c>
      <c r="AI146" s="61">
        <f ca="1">SUM(FC!E146)</f>
        <v>660</v>
      </c>
      <c r="AJ146" s="61">
        <v>0</v>
      </c>
      <c r="AK146" s="61">
        <f ca="1">SUM(FS!E146)</f>
        <v>660</v>
      </c>
      <c r="AL146" s="61">
        <f ca="1">SUM(IT!E146)</f>
        <v>480</v>
      </c>
      <c r="AM146" s="74"/>
      <c r="AN146" s="67">
        <f t="shared" si="68"/>
        <v>7740</v>
      </c>
    </row>
    <row r="147" spans="1:40">
      <c r="A147" s="10" t="s">
        <v>69</v>
      </c>
      <c r="B147" s="10" t="s">
        <v>261</v>
      </c>
      <c r="C147" s="39"/>
      <c r="D147" s="39">
        <f t="shared" si="66"/>
        <v>0</v>
      </c>
      <c r="E147" s="39">
        <f t="shared" si="67"/>
        <v>0</v>
      </c>
      <c r="F147" s="39"/>
      <c r="G147" s="39"/>
      <c r="H147" s="78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74"/>
      <c r="AA147" s="61">
        <f ca="1">SUM('AC-SVC'!C147)</f>
        <v>0</v>
      </c>
      <c r="AB147" s="61">
        <f ca="1">SUM('AC-SVC'!D147)</f>
        <v>0</v>
      </c>
      <c r="AC147" s="61">
        <f ca="1">SUM('AC-SVC'!E147)</f>
        <v>0</v>
      </c>
      <c r="AD147" s="61">
        <f ca="1">SUM('AC-SVC'!F147)</f>
        <v>0</v>
      </c>
      <c r="AE147" s="61">
        <f ca="1">SUM('AC-SVC'!G147)</f>
        <v>0</v>
      </c>
      <c r="AF147" s="61">
        <f ca="1">SUM('AC-SVC'!H147)</f>
        <v>0</v>
      </c>
      <c r="AG147" s="61">
        <f ca="1">SUM(PT!D147)</f>
        <v>0</v>
      </c>
      <c r="AH147" s="61">
        <f ca="1">SUM(CCLC!D147)</f>
        <v>0</v>
      </c>
      <c r="AI147" s="61">
        <f ca="1">SUM(FC!E147)</f>
        <v>0</v>
      </c>
      <c r="AJ147" s="61">
        <v>0</v>
      </c>
      <c r="AK147" s="61">
        <f ca="1">SUM(FS!E147)</f>
        <v>0</v>
      </c>
      <c r="AL147" s="61">
        <f ca="1">SUM(IT!E147)</f>
        <v>6600</v>
      </c>
      <c r="AM147" s="74"/>
      <c r="AN147" s="67">
        <f t="shared" si="68"/>
        <v>6600</v>
      </c>
    </row>
    <row r="148" spans="1:40" ht="12" customHeight="1">
      <c r="A148" s="10" t="s">
        <v>70</v>
      </c>
      <c r="B148" s="10" t="s">
        <v>262</v>
      </c>
      <c r="C148" s="39">
        <v>600</v>
      </c>
      <c r="D148" s="39">
        <f t="shared" si="66"/>
        <v>0</v>
      </c>
      <c r="E148" s="39">
        <f t="shared" si="67"/>
        <v>0</v>
      </c>
      <c r="F148" s="39"/>
      <c r="G148" s="39"/>
      <c r="H148" s="7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74"/>
      <c r="AA148" s="61">
        <f ca="1">SUM('AC-SVC'!C148)</f>
        <v>0</v>
      </c>
      <c r="AB148" s="61">
        <f ca="1">SUM('AC-SVC'!D148)</f>
        <v>0</v>
      </c>
      <c r="AC148" s="61">
        <f ca="1">SUM('AC-SVC'!E148)</f>
        <v>0</v>
      </c>
      <c r="AD148" s="61">
        <f ca="1">SUM('AC-SVC'!F148)</f>
        <v>0</v>
      </c>
      <c r="AE148" s="61">
        <f ca="1">SUM('AC-SVC'!G148)</f>
        <v>0</v>
      </c>
      <c r="AF148" s="61">
        <f ca="1">SUM('AC-SVC'!H148)</f>
        <v>0</v>
      </c>
      <c r="AG148" s="61">
        <f ca="1">SUM(PT!D148)</f>
        <v>0</v>
      </c>
      <c r="AH148" s="71">
        <f ca="1">SUM(CCLC!D148)</f>
        <v>0</v>
      </c>
      <c r="AI148" s="61">
        <f ca="1">SUM(FC!E148)</f>
        <v>0</v>
      </c>
      <c r="AJ148" s="61">
        <v>0</v>
      </c>
      <c r="AK148" s="61">
        <f ca="1">SUM(FS!E148)</f>
        <v>0</v>
      </c>
      <c r="AL148" s="61">
        <f ca="1">SUM(IT!E148)</f>
        <v>0</v>
      </c>
      <c r="AM148" s="74"/>
      <c r="AN148" s="67">
        <f t="shared" si="68"/>
        <v>600</v>
      </c>
    </row>
    <row r="149" spans="1:40">
      <c r="A149" s="10" t="s">
        <v>462</v>
      </c>
      <c r="B149" s="10" t="s">
        <v>464</v>
      </c>
      <c r="C149" s="40"/>
      <c r="D149" s="40">
        <f t="shared" si="66"/>
        <v>0</v>
      </c>
      <c r="E149" s="40">
        <f t="shared" si="67"/>
        <v>0</v>
      </c>
      <c r="F149" s="40"/>
      <c r="G149" s="40"/>
      <c r="H149" s="8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74"/>
      <c r="AA149" s="40">
        <f ca="1">SUM('AC-SVC'!C149)</f>
        <v>0</v>
      </c>
      <c r="AB149" s="40">
        <f ca="1">SUM('AC-SVC'!D149)</f>
        <v>0</v>
      </c>
      <c r="AC149" s="40">
        <f ca="1">SUM('AC-SVC'!E149)</f>
        <v>0</v>
      </c>
      <c r="AD149" s="40">
        <f ca="1">SUM('AC-SVC'!F149)</f>
        <v>0</v>
      </c>
      <c r="AE149" s="40">
        <f ca="1">SUM('AC-SVC'!G149)</f>
        <v>0</v>
      </c>
      <c r="AF149" s="40">
        <f ca="1">SUM('AC-SVC'!H149)</f>
        <v>0</v>
      </c>
      <c r="AG149" s="40">
        <f ca="1">SUM(PT!D149)</f>
        <v>0</v>
      </c>
      <c r="AH149" s="55">
        <f ca="1">SUM(CCLC!D149)</f>
        <v>0</v>
      </c>
      <c r="AI149" s="40">
        <f ca="1">SUM(FC!E149)</f>
        <v>0</v>
      </c>
      <c r="AJ149" s="40">
        <v>0</v>
      </c>
      <c r="AK149" s="40">
        <f ca="1">SUM(FS!E149)</f>
        <v>0</v>
      </c>
      <c r="AL149" s="40">
        <f ca="1">SUM(IT!E149)</f>
        <v>6113.75</v>
      </c>
      <c r="AM149" s="74"/>
      <c r="AN149" s="66">
        <f t="shared" si="68"/>
        <v>6113.75</v>
      </c>
    </row>
    <row r="150" spans="1:40">
      <c r="B150" s="10" t="s">
        <v>263</v>
      </c>
      <c r="C150" s="39">
        <f>SUM(C144:C149)</f>
        <v>600</v>
      </c>
      <c r="D150" s="39">
        <f>SUM(D144:D149)</f>
        <v>0</v>
      </c>
      <c r="E150" s="39">
        <f>SUM(E144:E149)</f>
        <v>0</v>
      </c>
      <c r="F150" s="39">
        <f>SUM(F144:F149)</f>
        <v>660</v>
      </c>
      <c r="G150" s="39">
        <f>SUM(G144:G149)</f>
        <v>660</v>
      </c>
      <c r="H150" s="78"/>
      <c r="I150" s="39">
        <f t="shared" ref="I150:Y150" si="69">SUM(I144:I149)</f>
        <v>0</v>
      </c>
      <c r="J150" s="39">
        <f t="shared" si="69"/>
        <v>0</v>
      </c>
      <c r="K150" s="39">
        <f>SUM(K144:K149)</f>
        <v>0</v>
      </c>
      <c r="L150" s="39">
        <f t="shared" si="69"/>
        <v>0</v>
      </c>
      <c r="M150" s="39">
        <f t="shared" si="69"/>
        <v>0</v>
      </c>
      <c r="N150" s="39">
        <f t="shared" si="69"/>
        <v>0</v>
      </c>
      <c r="O150" s="39">
        <f t="shared" si="69"/>
        <v>0</v>
      </c>
      <c r="P150" s="39">
        <f t="shared" si="69"/>
        <v>0</v>
      </c>
      <c r="Q150" s="39">
        <f t="shared" si="69"/>
        <v>0</v>
      </c>
      <c r="R150" s="39">
        <f t="shared" si="69"/>
        <v>0</v>
      </c>
      <c r="S150" s="39">
        <f t="shared" si="69"/>
        <v>0</v>
      </c>
      <c r="T150" s="39">
        <f t="shared" si="69"/>
        <v>0</v>
      </c>
      <c r="U150" s="39">
        <f t="shared" si="69"/>
        <v>0</v>
      </c>
      <c r="V150" s="39">
        <f t="shared" si="69"/>
        <v>0</v>
      </c>
      <c r="W150" s="39">
        <f t="shared" si="69"/>
        <v>0</v>
      </c>
      <c r="X150" s="39">
        <f t="shared" si="69"/>
        <v>0</v>
      </c>
      <c r="Y150" s="39">
        <f t="shared" si="69"/>
        <v>0</v>
      </c>
      <c r="Z150" s="74"/>
      <c r="AA150" s="39">
        <f t="shared" ref="AA150:AG150" si="70">+SUM(AA144:AA149)</f>
        <v>0</v>
      </c>
      <c r="AB150" s="54">
        <f t="shared" si="70"/>
        <v>1320</v>
      </c>
      <c r="AC150" s="39">
        <f t="shared" si="70"/>
        <v>1320</v>
      </c>
      <c r="AD150" s="39">
        <f t="shared" si="70"/>
        <v>1320</v>
      </c>
      <c r="AE150" s="39">
        <f t="shared" si="70"/>
        <v>0</v>
      </c>
      <c r="AF150" s="39">
        <f>+SUM(AF144:AF149)</f>
        <v>660</v>
      </c>
      <c r="AG150" s="39">
        <f t="shared" si="70"/>
        <v>0</v>
      </c>
      <c r="AH150" s="54">
        <f>+SUM(AH144:AH149)</f>
        <v>0</v>
      </c>
      <c r="AI150" s="39">
        <f>+SUM(AI144:AI149)</f>
        <v>660</v>
      </c>
      <c r="AJ150" s="39">
        <f>+SUM(AJ144:AJ149)</f>
        <v>0</v>
      </c>
      <c r="AK150" s="39">
        <f>+SUM(AK144:AK149)</f>
        <v>660</v>
      </c>
      <c r="AL150" s="39">
        <f>+SUM(AL144:AL149)</f>
        <v>15816.65</v>
      </c>
      <c r="AM150" s="74"/>
      <c r="AN150" s="57">
        <f>SUM(AN144:AN149)</f>
        <v>23676.65</v>
      </c>
    </row>
    <row r="151" spans="1:40">
      <c r="C151" s="39"/>
      <c r="D151" s="39"/>
      <c r="E151" s="39"/>
      <c r="F151" s="39"/>
      <c r="G151" s="39"/>
      <c r="H151" s="78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74"/>
      <c r="AA151" s="39"/>
      <c r="AB151" s="54"/>
      <c r="AC151" s="39"/>
      <c r="AD151" s="39"/>
      <c r="AE151" s="39"/>
      <c r="AF151" s="39"/>
      <c r="AG151" s="39"/>
      <c r="AH151" s="54"/>
      <c r="AI151" s="39"/>
      <c r="AJ151" s="39"/>
      <c r="AK151" s="39"/>
      <c r="AL151" s="39"/>
      <c r="AM151" s="74"/>
      <c r="AN151" s="57"/>
    </row>
    <row r="152" spans="1:40">
      <c r="A152" s="10" t="s">
        <v>264</v>
      </c>
      <c r="C152" s="39"/>
      <c r="D152" s="39"/>
      <c r="E152" s="39"/>
      <c r="F152" s="39"/>
      <c r="G152" s="39"/>
      <c r="H152" s="78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74"/>
      <c r="AA152" s="39"/>
      <c r="AB152" s="54"/>
      <c r="AC152" s="39"/>
      <c r="AD152" s="39"/>
      <c r="AE152" s="39"/>
      <c r="AF152" s="39"/>
      <c r="AG152" s="39"/>
      <c r="AH152" s="54"/>
      <c r="AI152" s="39"/>
      <c r="AJ152" s="39"/>
      <c r="AK152" s="39"/>
      <c r="AL152" s="39"/>
      <c r="AM152" s="74"/>
      <c r="AN152" s="57"/>
    </row>
    <row r="153" spans="1:40">
      <c r="A153" s="10" t="s">
        <v>265</v>
      </c>
      <c r="C153" s="39"/>
      <c r="D153" s="39"/>
      <c r="E153" s="39"/>
      <c r="F153" s="39"/>
      <c r="G153" s="39"/>
      <c r="H153" s="7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74"/>
      <c r="AA153" s="39"/>
      <c r="AB153" s="54"/>
      <c r="AC153" s="39"/>
      <c r="AD153" s="39"/>
      <c r="AE153" s="39"/>
      <c r="AF153" s="39"/>
      <c r="AG153" s="39"/>
      <c r="AH153" s="54"/>
      <c r="AI153" s="39"/>
      <c r="AJ153" s="39"/>
      <c r="AK153" s="39"/>
      <c r="AL153" s="39"/>
      <c r="AM153" s="74"/>
      <c r="AN153" s="57"/>
    </row>
    <row r="154" spans="1:40">
      <c r="A154" s="10" t="s">
        <v>71</v>
      </c>
      <c r="B154" s="10" t="s">
        <v>72</v>
      </c>
      <c r="C154" s="40"/>
      <c r="D154" s="40">
        <f>SUM(I154:L154)</f>
        <v>600</v>
      </c>
      <c r="E154" s="40">
        <f>SUM(M154:Y154)</f>
        <v>1200</v>
      </c>
      <c r="F154" s="40">
        <v>1500</v>
      </c>
      <c r="G154" s="40">
        <v>1000</v>
      </c>
      <c r="H154" s="80"/>
      <c r="I154" s="40">
        <v>150</v>
      </c>
      <c r="J154" s="40">
        <v>150</v>
      </c>
      <c r="K154" s="40">
        <v>150</v>
      </c>
      <c r="L154" s="40">
        <v>150</v>
      </c>
      <c r="M154" s="40">
        <v>150</v>
      </c>
      <c r="N154" s="40">
        <v>150</v>
      </c>
      <c r="O154" s="40">
        <v>150</v>
      </c>
      <c r="P154" s="40">
        <v>150</v>
      </c>
      <c r="Q154" s="40">
        <v>0</v>
      </c>
      <c r="R154" s="40">
        <v>0</v>
      </c>
      <c r="S154" s="40">
        <v>0</v>
      </c>
      <c r="T154" s="40">
        <v>0</v>
      </c>
      <c r="U154" s="40">
        <v>150</v>
      </c>
      <c r="V154" s="40">
        <v>0</v>
      </c>
      <c r="W154" s="40">
        <v>150</v>
      </c>
      <c r="X154" s="40">
        <v>150</v>
      </c>
      <c r="Y154" s="40">
        <v>150</v>
      </c>
      <c r="Z154" s="74"/>
      <c r="AA154" s="40">
        <f ca="1">SUM('AC-SVC'!C154)</f>
        <v>500</v>
      </c>
      <c r="AB154" s="40">
        <f ca="1">SUM('AC-SVC'!D154)</f>
        <v>750</v>
      </c>
      <c r="AC154" s="40">
        <f ca="1">SUM('AC-SVC'!E154)</f>
        <v>750</v>
      </c>
      <c r="AD154" s="40">
        <f ca="1">SUM('AC-SVC'!F154)</f>
        <v>750</v>
      </c>
      <c r="AE154" s="40">
        <f ca="1">SUM('AC-SVC'!G154)</f>
        <v>500</v>
      </c>
      <c r="AF154" s="40">
        <f ca="1">SUM('AC-SVC'!H154)*AF7</f>
        <v>375</v>
      </c>
      <c r="AG154" s="40">
        <f ca="1">SUM(PT!D154)</f>
        <v>0</v>
      </c>
      <c r="AH154" s="55">
        <f ca="1">SUM(CCLC!D154)</f>
        <v>303.030303030303</v>
      </c>
      <c r="AI154" s="40">
        <f ca="1">SUM(FC!E154)</f>
        <v>400</v>
      </c>
      <c r="AJ154" s="40">
        <v>0</v>
      </c>
      <c r="AK154" s="40">
        <f ca="1">SUM(FS!E154)</f>
        <v>180</v>
      </c>
      <c r="AL154" s="40">
        <f ca="1">SUM(IT!E154)</f>
        <v>625</v>
      </c>
      <c r="AM154" s="74"/>
      <c r="AN154" s="66">
        <f>SUM(C154:G154)+SUM(AA154:AL154)</f>
        <v>9433.0303030303039</v>
      </c>
    </row>
    <row r="155" spans="1:40">
      <c r="B155" s="10" t="s">
        <v>266</v>
      </c>
      <c r="C155" s="39">
        <f>SUM(C154)</f>
        <v>0</v>
      </c>
      <c r="D155" s="39">
        <f>SUM(D154)</f>
        <v>600</v>
      </c>
      <c r="E155" s="39">
        <f>SUM(E154)</f>
        <v>1200</v>
      </c>
      <c r="F155" s="39">
        <f>SUM(F154)</f>
        <v>1500</v>
      </c>
      <c r="G155" s="39">
        <f>SUM(G154)</f>
        <v>1000</v>
      </c>
      <c r="H155" s="78"/>
      <c r="I155" s="39">
        <f t="shared" ref="I155:Y155" si="71">SUM(I154)</f>
        <v>150</v>
      </c>
      <c r="J155" s="39">
        <f t="shared" si="71"/>
        <v>150</v>
      </c>
      <c r="K155" s="39">
        <f>SUM(K154)</f>
        <v>150</v>
      </c>
      <c r="L155" s="39">
        <f t="shared" si="71"/>
        <v>150</v>
      </c>
      <c r="M155" s="39">
        <f t="shared" si="71"/>
        <v>150</v>
      </c>
      <c r="N155" s="39">
        <f t="shared" si="71"/>
        <v>150</v>
      </c>
      <c r="O155" s="39">
        <f t="shared" si="71"/>
        <v>150</v>
      </c>
      <c r="P155" s="39">
        <f t="shared" si="71"/>
        <v>150</v>
      </c>
      <c r="Q155" s="39">
        <f t="shared" si="71"/>
        <v>0</v>
      </c>
      <c r="R155" s="39">
        <f t="shared" si="71"/>
        <v>0</v>
      </c>
      <c r="S155" s="39">
        <f t="shared" si="71"/>
        <v>0</v>
      </c>
      <c r="T155" s="39">
        <f t="shared" si="71"/>
        <v>0</v>
      </c>
      <c r="U155" s="39">
        <f t="shared" si="71"/>
        <v>150</v>
      </c>
      <c r="V155" s="39">
        <f t="shared" si="71"/>
        <v>0</v>
      </c>
      <c r="W155" s="39">
        <f t="shared" si="71"/>
        <v>150</v>
      </c>
      <c r="X155" s="39">
        <f t="shared" si="71"/>
        <v>150</v>
      </c>
      <c r="Y155" s="39">
        <f t="shared" si="71"/>
        <v>150</v>
      </c>
      <c r="Z155" s="74"/>
      <c r="AA155" s="39">
        <f t="shared" ref="AA155:AL155" si="72">SUM(AA154)</f>
        <v>500</v>
      </c>
      <c r="AB155" s="39">
        <f t="shared" si="72"/>
        <v>750</v>
      </c>
      <c r="AC155" s="39">
        <f t="shared" si="72"/>
        <v>750</v>
      </c>
      <c r="AD155" s="39">
        <f t="shared" si="72"/>
        <v>750</v>
      </c>
      <c r="AE155" s="39">
        <f t="shared" si="72"/>
        <v>500</v>
      </c>
      <c r="AF155" s="39">
        <f t="shared" si="72"/>
        <v>375</v>
      </c>
      <c r="AG155" s="39">
        <f t="shared" si="72"/>
        <v>0</v>
      </c>
      <c r="AH155" s="54">
        <f t="shared" si="72"/>
        <v>303.030303030303</v>
      </c>
      <c r="AI155" s="39">
        <f t="shared" si="72"/>
        <v>400</v>
      </c>
      <c r="AJ155" s="39">
        <f t="shared" si="72"/>
        <v>0</v>
      </c>
      <c r="AK155" s="39">
        <f t="shared" si="72"/>
        <v>180</v>
      </c>
      <c r="AL155" s="39">
        <f t="shared" si="72"/>
        <v>625</v>
      </c>
      <c r="AM155" s="74"/>
      <c r="AN155" s="57">
        <f>SUM(AN154)</f>
        <v>9433.0303030303039</v>
      </c>
    </row>
    <row r="156" spans="1:40">
      <c r="C156" s="39"/>
      <c r="D156" s="39"/>
      <c r="E156" s="39"/>
      <c r="F156" s="39"/>
      <c r="G156" s="39"/>
      <c r="H156" s="78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74"/>
      <c r="AA156" s="39"/>
      <c r="AB156" s="54"/>
      <c r="AC156" s="39"/>
      <c r="AD156" s="39"/>
      <c r="AE156" s="39"/>
      <c r="AF156" s="39"/>
      <c r="AG156" s="39"/>
      <c r="AH156" s="54"/>
      <c r="AI156" s="39"/>
      <c r="AJ156" s="39"/>
      <c r="AK156" s="39"/>
      <c r="AL156" s="39"/>
      <c r="AM156" s="74"/>
      <c r="AN156" s="57"/>
    </row>
    <row r="157" spans="1:40">
      <c r="A157" s="10" t="s">
        <v>267</v>
      </c>
      <c r="C157" s="39"/>
      <c r="D157" s="39"/>
      <c r="E157" s="39"/>
      <c r="F157" s="39"/>
      <c r="G157" s="39"/>
      <c r="H157" s="78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74"/>
      <c r="AA157" s="39"/>
      <c r="AB157" s="54"/>
      <c r="AC157" s="39"/>
      <c r="AD157" s="39"/>
      <c r="AE157" s="39"/>
      <c r="AF157" s="39"/>
      <c r="AG157" s="39"/>
      <c r="AH157" s="54"/>
      <c r="AI157" s="39"/>
      <c r="AJ157" s="39"/>
      <c r="AK157" s="39"/>
      <c r="AL157" s="39"/>
      <c r="AM157" s="74"/>
      <c r="AN157" s="57"/>
    </row>
    <row r="158" spans="1:40">
      <c r="A158" s="10" t="s">
        <v>73</v>
      </c>
      <c r="B158" s="10" t="s">
        <v>74</v>
      </c>
      <c r="C158" s="39">
        <f>300*10</f>
        <v>3000</v>
      </c>
      <c r="D158" s="39">
        <f>SUM(I158:L158)</f>
        <v>12000</v>
      </c>
      <c r="E158" s="39">
        <f t="shared" ref="E158:E170" si="73">SUM(M158:Y158)</f>
        <v>24000</v>
      </c>
      <c r="F158" s="39">
        <f>1000+500+500</f>
        <v>2000</v>
      </c>
      <c r="G158" s="39">
        <v>1500</v>
      </c>
      <c r="H158" s="78"/>
      <c r="I158" s="39">
        <v>3000</v>
      </c>
      <c r="J158" s="39">
        <v>3000</v>
      </c>
      <c r="K158" s="39">
        <v>3000</v>
      </c>
      <c r="L158" s="39">
        <v>3000</v>
      </c>
      <c r="M158" s="39">
        <v>3000</v>
      </c>
      <c r="N158" s="39">
        <v>3000</v>
      </c>
      <c r="O158" s="39">
        <v>3000</v>
      </c>
      <c r="P158" s="39">
        <v>3000</v>
      </c>
      <c r="Q158" s="39">
        <f>2000*Q7</f>
        <v>0</v>
      </c>
      <c r="R158" s="39">
        <v>0</v>
      </c>
      <c r="S158" s="39">
        <v>0</v>
      </c>
      <c r="T158" s="39">
        <v>0</v>
      </c>
      <c r="U158" s="39">
        <v>3000</v>
      </c>
      <c r="V158" s="39"/>
      <c r="W158" s="39">
        <v>3000</v>
      </c>
      <c r="X158" s="39">
        <v>3000</v>
      </c>
      <c r="Y158" s="39">
        <v>3000</v>
      </c>
      <c r="Z158" s="74"/>
      <c r="AA158" s="61">
        <f ca="1">SUM('AC-SVC'!C158)</f>
        <v>8650</v>
      </c>
      <c r="AB158" s="61">
        <f ca="1">SUM('AC-SVC'!D158)</f>
        <v>3000</v>
      </c>
      <c r="AC158" s="61">
        <f ca="1">SUM('AC-SVC'!E158)</f>
        <v>1500</v>
      </c>
      <c r="AD158" s="61">
        <f ca="1">SUM('AC-SVC'!F158)</f>
        <v>4400</v>
      </c>
      <c r="AE158" s="61">
        <f ca="1">SUM('AC-SVC'!G158)</f>
        <v>700</v>
      </c>
      <c r="AF158" s="61">
        <f ca="1">SUM('AC-SVC'!H158)*AF7</f>
        <v>625</v>
      </c>
      <c r="AG158" s="61">
        <f ca="1">SUM(PT!D158)</f>
        <v>1000</v>
      </c>
      <c r="AH158" s="71">
        <f ca="1">SUM(CCLC!D158)</f>
        <v>3263.939393939394</v>
      </c>
      <c r="AI158" s="61">
        <f ca="1">SUM(FC!E158)</f>
        <v>15000</v>
      </c>
      <c r="AJ158" s="61">
        <v>0</v>
      </c>
      <c r="AK158" s="61">
        <f ca="1">SUM(FS!E158)</f>
        <v>5904</v>
      </c>
      <c r="AL158" s="61">
        <f ca="1">SUM(IT!E158)</f>
        <v>0</v>
      </c>
      <c r="AM158" s="74"/>
      <c r="AN158" s="67">
        <f t="shared" ref="AN158:AN170" si="74">SUM(C158:G158)+SUM(AA158:AL158)</f>
        <v>86542.939393939392</v>
      </c>
    </row>
    <row r="159" spans="1:40">
      <c r="A159" s="10" t="s">
        <v>75</v>
      </c>
      <c r="B159" s="10" t="s">
        <v>154</v>
      </c>
      <c r="C159" s="39">
        <v>5000</v>
      </c>
      <c r="D159" s="39">
        <f t="shared" ref="D159:D170" si="75">SUM(I159:L159)</f>
        <v>0</v>
      </c>
      <c r="E159" s="39">
        <f t="shared" si="73"/>
        <v>0</v>
      </c>
      <c r="F159" s="39"/>
      <c r="G159" s="39"/>
      <c r="H159" s="78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74"/>
      <c r="AA159" s="61">
        <f ca="1">SUM('AC-SVC'!C159)</f>
        <v>0</v>
      </c>
      <c r="AB159" s="61">
        <f ca="1">SUM('AC-SVC'!D159)</f>
        <v>0</v>
      </c>
      <c r="AC159" s="61">
        <f ca="1">SUM('AC-SVC'!E159)</f>
        <v>0</v>
      </c>
      <c r="AD159" s="61">
        <f ca="1">SUM('AC-SVC'!F159)</f>
        <v>0</v>
      </c>
      <c r="AE159" s="61">
        <f ca="1">SUM('AC-SVC'!G159)</f>
        <v>725</v>
      </c>
      <c r="AF159" s="61">
        <f ca="1">SUM('AC-SVC'!H159)</f>
        <v>0</v>
      </c>
      <c r="AG159" s="61">
        <f ca="1">SUM(PT!D159)</f>
        <v>0</v>
      </c>
      <c r="AH159" s="71">
        <f ca="1">SUM(CCLC!D159)</f>
        <v>0</v>
      </c>
      <c r="AI159" s="61">
        <f ca="1">SUM(FC!E159)</f>
        <v>0</v>
      </c>
      <c r="AJ159" s="61">
        <v>0</v>
      </c>
      <c r="AK159" s="61">
        <f ca="1">SUM(FS!E159)</f>
        <v>0</v>
      </c>
      <c r="AL159" s="61">
        <f ca="1">SUM(IT!E159)</f>
        <v>0</v>
      </c>
      <c r="AM159" s="74"/>
      <c r="AN159" s="67">
        <f t="shared" si="74"/>
        <v>5725</v>
      </c>
    </row>
    <row r="160" spans="1:40">
      <c r="A160" s="10" t="s">
        <v>456</v>
      </c>
      <c r="B160" s="10" t="s">
        <v>97</v>
      </c>
      <c r="C160" s="39"/>
      <c r="D160" s="39">
        <f t="shared" si="75"/>
        <v>0</v>
      </c>
      <c r="E160" s="39">
        <f t="shared" si="73"/>
        <v>0</v>
      </c>
      <c r="F160" s="39"/>
      <c r="G160" s="39"/>
      <c r="H160" s="78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74"/>
      <c r="AA160" s="61">
        <f ca="1">SUM('AC-SVC'!C160)</f>
        <v>0</v>
      </c>
      <c r="AB160" s="61">
        <f ca="1">SUM('AC-SVC'!D160)</f>
        <v>0</v>
      </c>
      <c r="AC160" s="61">
        <f ca="1">SUM('AC-SVC'!E160)</f>
        <v>0</v>
      </c>
      <c r="AD160" s="61">
        <f ca="1">SUM('AC-SVC'!F160)</f>
        <v>0</v>
      </c>
      <c r="AE160" s="61">
        <f ca="1">SUM('AC-SVC'!G160)</f>
        <v>0</v>
      </c>
      <c r="AF160" s="61">
        <f ca="1">SUM('AC-SVC'!H160)</f>
        <v>0</v>
      </c>
      <c r="AG160" s="61">
        <f ca="1">SUM(PT!D160)</f>
        <v>0</v>
      </c>
      <c r="AH160" s="71">
        <f ca="1">SUM(CCLC!D160)</f>
        <v>0</v>
      </c>
      <c r="AI160" s="61">
        <f ca="1">SUM(FC!E160)</f>
        <v>5000</v>
      </c>
      <c r="AJ160" s="61">
        <v>0</v>
      </c>
      <c r="AK160" s="61">
        <f ca="1">SUM(FS!E160)</f>
        <v>0</v>
      </c>
      <c r="AL160" s="61">
        <f ca="1">SUM(IT!E160)</f>
        <v>0</v>
      </c>
      <c r="AM160" s="74"/>
      <c r="AN160" s="67">
        <f t="shared" si="74"/>
        <v>5000</v>
      </c>
    </row>
    <row r="161" spans="1:40">
      <c r="A161" s="10" t="s">
        <v>457</v>
      </c>
      <c r="B161" s="10" t="s">
        <v>458</v>
      </c>
      <c r="C161" s="39"/>
      <c r="D161" s="39">
        <f t="shared" si="75"/>
        <v>0</v>
      </c>
      <c r="E161" s="39">
        <f t="shared" si="73"/>
        <v>0</v>
      </c>
      <c r="F161" s="39"/>
      <c r="G161" s="39"/>
      <c r="H161" s="78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74"/>
      <c r="AA161" s="61">
        <f ca="1">SUM('AC-SVC'!C161)</f>
        <v>0</v>
      </c>
      <c r="AB161" s="61">
        <f ca="1">SUM('AC-SVC'!D161)</f>
        <v>0</v>
      </c>
      <c r="AC161" s="61">
        <f ca="1">SUM('AC-SVC'!E161)</f>
        <v>0</v>
      </c>
      <c r="AD161" s="61">
        <f ca="1">SUM('AC-SVC'!F161)</f>
        <v>0</v>
      </c>
      <c r="AE161" s="61">
        <f ca="1">SUM('AC-SVC'!G161)</f>
        <v>0</v>
      </c>
      <c r="AF161" s="61">
        <f ca="1">SUM('AC-SVC'!H161)</f>
        <v>0</v>
      </c>
      <c r="AG161" s="61">
        <f ca="1">SUM(PT!D161)</f>
        <v>0</v>
      </c>
      <c r="AH161" s="71">
        <f ca="1">SUM(CCLC!D161)</f>
        <v>0</v>
      </c>
      <c r="AI161" s="61">
        <f ca="1">SUM(FC!E161)</f>
        <v>0</v>
      </c>
      <c r="AJ161" s="61">
        <v>0</v>
      </c>
      <c r="AK161" s="61">
        <f ca="1">SUM(FS!E161)</f>
        <v>0</v>
      </c>
      <c r="AL161" s="61">
        <f ca="1">SUM(IT!E161)</f>
        <v>600</v>
      </c>
      <c r="AM161" s="74"/>
      <c r="AN161" s="67">
        <f t="shared" si="74"/>
        <v>600</v>
      </c>
    </row>
    <row r="162" spans="1:40">
      <c r="A162" s="10" t="s">
        <v>459</v>
      </c>
      <c r="B162" s="10" t="s">
        <v>460</v>
      </c>
      <c r="C162" s="39"/>
      <c r="D162" s="39">
        <f t="shared" si="75"/>
        <v>0</v>
      </c>
      <c r="E162" s="39">
        <f t="shared" si="73"/>
        <v>0</v>
      </c>
      <c r="F162" s="39"/>
      <c r="G162" s="39"/>
      <c r="H162" s="78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74"/>
      <c r="AA162" s="61">
        <f ca="1">SUM('AC-SVC'!C162)</f>
        <v>0</v>
      </c>
      <c r="AB162" s="61">
        <f ca="1">SUM('AC-SVC'!D162)</f>
        <v>0</v>
      </c>
      <c r="AC162" s="61">
        <f ca="1">SUM('AC-SVC'!E162)</f>
        <v>0</v>
      </c>
      <c r="AD162" s="61">
        <f ca="1">SUM('AC-SVC'!F162)</f>
        <v>0</v>
      </c>
      <c r="AE162" s="61">
        <f ca="1">SUM('AC-SVC'!G162)</f>
        <v>0</v>
      </c>
      <c r="AF162" s="61">
        <f ca="1">SUM('AC-SVC'!H162)</f>
        <v>0</v>
      </c>
      <c r="AG162" s="61">
        <f ca="1">SUM(PT!D162)</f>
        <v>0</v>
      </c>
      <c r="AH162" s="71">
        <f ca="1">SUM(CCLC!D162)</f>
        <v>0</v>
      </c>
      <c r="AI162" s="61">
        <f ca="1">SUM(FC!E162)</f>
        <v>0</v>
      </c>
      <c r="AJ162" s="61">
        <v>0</v>
      </c>
      <c r="AK162" s="61">
        <f ca="1">SUM(FS!E162)</f>
        <v>0</v>
      </c>
      <c r="AL162" s="61">
        <f ca="1">SUM(IT!E162)</f>
        <v>148360</v>
      </c>
      <c r="AM162" s="74"/>
      <c r="AN162" s="67">
        <f t="shared" si="74"/>
        <v>148360</v>
      </c>
    </row>
    <row r="163" spans="1:40">
      <c r="A163" s="10" t="s">
        <v>452</v>
      </c>
      <c r="B163" s="10" t="s">
        <v>453</v>
      </c>
      <c r="C163" s="39"/>
      <c r="D163" s="39">
        <f>SUM(I163:L163)</f>
        <v>0</v>
      </c>
      <c r="E163" s="39">
        <f>SUM(M163:Y163)</f>
        <v>0</v>
      </c>
      <c r="F163" s="39"/>
      <c r="G163" s="39"/>
      <c r="H163" s="7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74"/>
      <c r="AA163" s="61">
        <f ca="1">SUM('AC-SVC'!C163)</f>
        <v>0</v>
      </c>
      <c r="AB163" s="61">
        <f ca="1">SUM('AC-SVC'!D163)</f>
        <v>0</v>
      </c>
      <c r="AC163" s="61">
        <f ca="1">SUM('AC-SVC'!E163)</f>
        <v>0</v>
      </c>
      <c r="AD163" s="61">
        <f ca="1">SUM('AC-SVC'!F163)</f>
        <v>0</v>
      </c>
      <c r="AE163" s="61">
        <f ca="1">SUM('AC-SVC'!G163)</f>
        <v>0</v>
      </c>
      <c r="AF163" s="61">
        <f ca="1">SUM('AC-SVC'!H163)</f>
        <v>0</v>
      </c>
      <c r="AG163" s="61">
        <f ca="1">SUM(PT!D163)</f>
        <v>0</v>
      </c>
      <c r="AH163" s="71">
        <f ca="1">SUM(CCLC!D163)</f>
        <v>0</v>
      </c>
      <c r="AI163" s="61">
        <f ca="1">SUM(FC!E163)</f>
        <v>0</v>
      </c>
      <c r="AJ163" s="61">
        <v>0</v>
      </c>
      <c r="AK163" s="61">
        <f ca="1">SUM(FS!E163)</f>
        <v>0</v>
      </c>
      <c r="AL163" s="61">
        <f ca="1">SUM(IT!E163)</f>
        <v>0</v>
      </c>
      <c r="AM163" s="74"/>
      <c r="AN163" s="67">
        <f t="shared" si="74"/>
        <v>0</v>
      </c>
    </row>
    <row r="164" spans="1:40">
      <c r="A164" s="10" t="s">
        <v>76</v>
      </c>
      <c r="B164" s="10" t="s">
        <v>155</v>
      </c>
      <c r="C164" s="39"/>
      <c r="D164" s="39">
        <f t="shared" si="75"/>
        <v>0</v>
      </c>
      <c r="E164" s="39">
        <f t="shared" si="73"/>
        <v>0</v>
      </c>
      <c r="F164" s="39"/>
      <c r="G164" s="39"/>
      <c r="H164" s="78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74"/>
      <c r="AA164" s="61">
        <f ca="1">SUM('AC-SVC'!C164)</f>
        <v>0</v>
      </c>
      <c r="AB164" s="61">
        <f ca="1">SUM('AC-SVC'!D164)</f>
        <v>0</v>
      </c>
      <c r="AC164" s="61">
        <f ca="1">SUM('AC-SVC'!E164)</f>
        <v>0</v>
      </c>
      <c r="AD164" s="61">
        <f ca="1">SUM('AC-SVC'!F164)</f>
        <v>0</v>
      </c>
      <c r="AE164" s="61">
        <f ca="1">SUM('AC-SVC'!G164)</f>
        <v>0</v>
      </c>
      <c r="AF164" s="61">
        <f ca="1">SUM('AC-SVC'!H164)</f>
        <v>0</v>
      </c>
      <c r="AG164" s="61">
        <f ca="1">SUM(PT!D164)</f>
        <v>2500</v>
      </c>
      <c r="AH164" s="71">
        <f ca="1">SUM(CCLC!D164)</f>
        <v>4363.6363636363631</v>
      </c>
      <c r="AI164" s="61">
        <f ca="1">SUM(FC!E164)</f>
        <v>0</v>
      </c>
      <c r="AJ164" s="61">
        <v>0</v>
      </c>
      <c r="AK164" s="61">
        <f ca="1">SUM(FS!E164)</f>
        <v>42100.799999999996</v>
      </c>
      <c r="AL164" s="61">
        <f ca="1">SUM(IT!E164)</f>
        <v>0</v>
      </c>
      <c r="AM164" s="74"/>
      <c r="AN164" s="67">
        <f t="shared" si="74"/>
        <v>48964.436363636356</v>
      </c>
    </row>
    <row r="165" spans="1:40">
      <c r="A165" s="10" t="s">
        <v>79</v>
      </c>
      <c r="B165" s="10" t="s">
        <v>156</v>
      </c>
      <c r="C165" s="39"/>
      <c r="D165" s="39">
        <f t="shared" si="75"/>
        <v>0</v>
      </c>
      <c r="E165" s="39">
        <f t="shared" si="73"/>
        <v>0</v>
      </c>
      <c r="F165" s="39"/>
      <c r="G165" s="39"/>
      <c r="H165" s="78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74"/>
      <c r="AA165" s="61">
        <f ca="1">SUM('AC-SVC'!C165)</f>
        <v>0</v>
      </c>
      <c r="AB165" s="61">
        <f ca="1">SUM('AC-SVC'!D165)</f>
        <v>0</v>
      </c>
      <c r="AC165" s="61">
        <f ca="1">SUM('AC-SVC'!E165)</f>
        <v>0</v>
      </c>
      <c r="AD165" s="61">
        <f ca="1">SUM('AC-SVC'!F165)</f>
        <v>0</v>
      </c>
      <c r="AE165" s="61">
        <f ca="1">SUM('AC-SVC'!G165)</f>
        <v>0</v>
      </c>
      <c r="AF165" s="61">
        <f ca="1">SUM('AC-SVC'!H165)</f>
        <v>0</v>
      </c>
      <c r="AG165" s="61">
        <f ca="1">SUM(PT!D165)</f>
        <v>0</v>
      </c>
      <c r="AH165" s="71">
        <f ca="1">SUM(CCLC!D165)</f>
        <v>0</v>
      </c>
      <c r="AI165" s="61">
        <f ca="1">SUM(FC!E165)</f>
        <v>0</v>
      </c>
      <c r="AJ165" s="61">
        <v>0</v>
      </c>
      <c r="AK165" s="61">
        <f ca="1">SUM(FS!E165)</f>
        <v>300</v>
      </c>
      <c r="AL165" s="61">
        <f ca="1">SUM(IT!E165)</f>
        <v>0</v>
      </c>
      <c r="AM165" s="74"/>
      <c r="AN165" s="67">
        <f t="shared" si="74"/>
        <v>300</v>
      </c>
    </row>
    <row r="166" spans="1:40">
      <c r="A166" s="10" t="s">
        <v>78</v>
      </c>
      <c r="B166" s="10" t="s">
        <v>157</v>
      </c>
      <c r="C166" s="39"/>
      <c r="D166" s="39">
        <f t="shared" si="75"/>
        <v>0</v>
      </c>
      <c r="E166" s="39">
        <f t="shared" si="73"/>
        <v>0</v>
      </c>
      <c r="F166" s="39"/>
      <c r="G166" s="39"/>
      <c r="H166" s="78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74"/>
      <c r="AA166" s="61">
        <f ca="1">SUM('AC-SVC'!C166)</f>
        <v>0</v>
      </c>
      <c r="AB166" s="61">
        <f ca="1">SUM('AC-SVC'!D166)</f>
        <v>0</v>
      </c>
      <c r="AC166" s="61">
        <f ca="1">SUM('AC-SVC'!E166)</f>
        <v>0</v>
      </c>
      <c r="AD166" s="61">
        <f ca="1">SUM('AC-SVC'!F166)</f>
        <v>0</v>
      </c>
      <c r="AE166" s="61">
        <f ca="1">SUM('AC-SVC'!G166)</f>
        <v>0</v>
      </c>
      <c r="AF166" s="61">
        <f ca="1">SUM('AC-SVC'!H166)</f>
        <v>0</v>
      </c>
      <c r="AG166" s="61">
        <f ca="1">SUM(PT!D166)</f>
        <v>0</v>
      </c>
      <c r="AH166" s="71">
        <f ca="1">SUM(CCLC!D166)</f>
        <v>0</v>
      </c>
      <c r="AI166" s="61">
        <f ca="1">SUM(FC!E166)</f>
        <v>0</v>
      </c>
      <c r="AJ166" s="61">
        <v>0</v>
      </c>
      <c r="AK166" s="61">
        <f ca="1">SUM(FS!E166)</f>
        <v>150</v>
      </c>
      <c r="AL166" s="61">
        <f ca="1">SUM(IT!E166)</f>
        <v>0</v>
      </c>
      <c r="AM166" s="74"/>
      <c r="AN166" s="67">
        <f t="shared" si="74"/>
        <v>150</v>
      </c>
    </row>
    <row r="167" spans="1:40">
      <c r="A167" s="10" t="s">
        <v>77</v>
      </c>
      <c r="B167" s="10" t="s">
        <v>158</v>
      </c>
      <c r="C167" s="39">
        <f ca="1">275*SUM!B6</f>
        <v>49225</v>
      </c>
      <c r="D167" s="39">
        <f t="shared" si="75"/>
        <v>0</v>
      </c>
      <c r="E167" s="39">
        <f t="shared" si="73"/>
        <v>0</v>
      </c>
      <c r="F167" s="39"/>
      <c r="G167" s="39"/>
      <c r="H167" s="78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74"/>
      <c r="AA167" s="61">
        <f ca="1">SUM('AC-SVC'!C167)</f>
        <v>0</v>
      </c>
      <c r="AB167" s="61">
        <f ca="1">SUM('AC-SVC'!D167)</f>
        <v>0</v>
      </c>
      <c r="AC167" s="61">
        <f ca="1">SUM('AC-SVC'!E167)</f>
        <v>0</v>
      </c>
      <c r="AD167" s="61">
        <f ca="1">SUM('AC-SVC'!F167)</f>
        <v>0</v>
      </c>
      <c r="AE167" s="61">
        <f ca="1">SUM('AC-SVC'!G167)</f>
        <v>0</v>
      </c>
      <c r="AF167" s="61">
        <f ca="1">SUM('AC-SVC'!H167)*AF7</f>
        <v>1125</v>
      </c>
      <c r="AG167" s="61">
        <f ca="1">SUM(PT!D167)</f>
        <v>0</v>
      </c>
      <c r="AH167" s="61">
        <f ca="1">SUM(CCLC!D167)</f>
        <v>0</v>
      </c>
      <c r="AI167" s="61">
        <f ca="1">SUM(FC!E167)</f>
        <v>0</v>
      </c>
      <c r="AJ167" s="61">
        <v>0</v>
      </c>
      <c r="AK167" s="61">
        <f ca="1">SUM(FS!E167)</f>
        <v>0</v>
      </c>
      <c r="AL167" s="61">
        <f ca="1">SUM(IT!E167)</f>
        <v>0</v>
      </c>
      <c r="AM167" s="74"/>
      <c r="AN167" s="67">
        <f t="shared" si="74"/>
        <v>50350</v>
      </c>
    </row>
    <row r="168" spans="1:40">
      <c r="A168" s="10" t="s">
        <v>80</v>
      </c>
      <c r="B168" s="10" t="s">
        <v>159</v>
      </c>
      <c r="C168" s="39">
        <f ca="1">125*SUM!B6</f>
        <v>22375</v>
      </c>
      <c r="D168" s="39">
        <f t="shared" si="75"/>
        <v>0</v>
      </c>
      <c r="E168" s="39">
        <f t="shared" si="73"/>
        <v>0</v>
      </c>
      <c r="F168" s="39"/>
      <c r="G168" s="39"/>
      <c r="H168" s="7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74"/>
      <c r="AA168" s="61">
        <f ca="1">SUM('AC-SVC'!C168)</f>
        <v>7000</v>
      </c>
      <c r="AB168" s="61">
        <f ca="1">SUM('AC-SVC'!D168)</f>
        <v>0</v>
      </c>
      <c r="AC168" s="61">
        <f ca="1">SUM('AC-SVC'!E168)</f>
        <v>0</v>
      </c>
      <c r="AD168" s="61">
        <f ca="1">SUM('AC-SVC'!F168)</f>
        <v>0</v>
      </c>
      <c r="AE168" s="61">
        <f ca="1">SUM('AC-SVC'!G168)</f>
        <v>0</v>
      </c>
      <c r="AF168" s="61">
        <f ca="1">SUM('AC-SVC'!H168)*AF7</f>
        <v>750</v>
      </c>
      <c r="AG168" s="61">
        <f ca="1">SUM(PT!D168)</f>
        <v>0</v>
      </c>
      <c r="AH168" s="61">
        <f ca="1">SUM(CCLC!D168)</f>
        <v>0</v>
      </c>
      <c r="AI168" s="61">
        <f ca="1">SUM(FC!E168)</f>
        <v>0</v>
      </c>
      <c r="AJ168" s="61">
        <v>0</v>
      </c>
      <c r="AK168" s="61">
        <f ca="1">SUM(FS!E168)</f>
        <v>0</v>
      </c>
      <c r="AL168" s="61">
        <f ca="1">SUM(IT!E168)</f>
        <v>0</v>
      </c>
      <c r="AM168" s="74"/>
      <c r="AN168" s="67">
        <f t="shared" si="74"/>
        <v>30125</v>
      </c>
    </row>
    <row r="169" spans="1:40">
      <c r="A169" s="10" t="s">
        <v>81</v>
      </c>
      <c r="B169" s="10" t="s">
        <v>160</v>
      </c>
      <c r="C169" s="39"/>
      <c r="D169" s="39">
        <f t="shared" si="75"/>
        <v>0</v>
      </c>
      <c r="E169" s="39">
        <f t="shared" si="73"/>
        <v>0</v>
      </c>
      <c r="F169" s="39"/>
      <c r="G169" s="39"/>
      <c r="H169" s="78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74"/>
      <c r="AA169" s="61">
        <f ca="1">SUM('AC-SVC'!C169)</f>
        <v>0</v>
      </c>
      <c r="AB169" s="61">
        <f ca="1">SUM('AC-SVC'!D169)</f>
        <v>0</v>
      </c>
      <c r="AC169" s="61">
        <f ca="1">SUM('AC-SVC'!E169)</f>
        <v>0</v>
      </c>
      <c r="AD169" s="61">
        <f ca="1">SUM('AC-SVC'!F169)</f>
        <v>0</v>
      </c>
      <c r="AE169" s="61">
        <f ca="1">SUM('AC-SVC'!G169)</f>
        <v>728</v>
      </c>
      <c r="AF169" s="61">
        <f ca="1">SUM('AC-SVC'!H169)</f>
        <v>0</v>
      </c>
      <c r="AG169" s="61">
        <f ca="1">SUM(PT!D169)</f>
        <v>0</v>
      </c>
      <c r="AH169" s="61">
        <f ca="1">SUM(CCLC!D169)</f>
        <v>0</v>
      </c>
      <c r="AI169" s="61">
        <f ca="1">SUM(FC!E169)</f>
        <v>0</v>
      </c>
      <c r="AJ169" s="61">
        <v>0</v>
      </c>
      <c r="AK169" s="61">
        <f ca="1">SUM(FS!E169)</f>
        <v>0</v>
      </c>
      <c r="AL169" s="61">
        <f ca="1">SUM(IT!E169)</f>
        <v>0</v>
      </c>
      <c r="AM169" s="74"/>
      <c r="AN169" s="67">
        <f t="shared" si="74"/>
        <v>728</v>
      </c>
    </row>
    <row r="170" spans="1:40">
      <c r="A170" s="10" t="s">
        <v>161</v>
      </c>
      <c r="B170" s="10" t="s">
        <v>162</v>
      </c>
      <c r="C170" s="40"/>
      <c r="D170" s="40">
        <f t="shared" si="75"/>
        <v>0</v>
      </c>
      <c r="E170" s="40">
        <f t="shared" si="73"/>
        <v>0</v>
      </c>
      <c r="F170" s="40"/>
      <c r="G170" s="40"/>
      <c r="H170" s="8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74"/>
      <c r="AA170" s="40">
        <f ca="1">SUM('AC-SVC'!C170)</f>
        <v>0</v>
      </c>
      <c r="AB170" s="40">
        <f ca="1">SUM('AC-SVC'!D170)</f>
        <v>0</v>
      </c>
      <c r="AC170" s="40">
        <f ca="1">SUM('AC-SVC'!E170)</f>
        <v>0</v>
      </c>
      <c r="AD170" s="40">
        <f ca="1">SUM('AC-SVC'!F170)</f>
        <v>0</v>
      </c>
      <c r="AE170" s="40">
        <f ca="1">SUM('AC-SVC'!G170)*0.3</f>
        <v>18300</v>
      </c>
      <c r="AF170" s="40">
        <f ca="1">SUM('AC-SVC'!H170)*0.3</f>
        <v>0</v>
      </c>
      <c r="AG170" s="40">
        <f ca="1">SUM(PT!D170)</f>
        <v>0</v>
      </c>
      <c r="AH170" s="40">
        <f ca="1">SUM(CCLC!D170)</f>
        <v>0</v>
      </c>
      <c r="AI170" s="40">
        <f ca="1">SUM(FC!E170)</f>
        <v>0</v>
      </c>
      <c r="AJ170" s="40">
        <v>0</v>
      </c>
      <c r="AK170" s="40">
        <f ca="1">SUM(FS!E170)</f>
        <v>0</v>
      </c>
      <c r="AL170" s="40">
        <f ca="1">SUM(IT!E170)</f>
        <v>0</v>
      </c>
      <c r="AM170" s="74"/>
      <c r="AN170" s="66">
        <f t="shared" si="74"/>
        <v>18300</v>
      </c>
    </row>
    <row r="171" spans="1:40">
      <c r="B171" s="10" t="s">
        <v>163</v>
      </c>
      <c r="C171" s="39">
        <f>SUM(C158:C170)</f>
        <v>79600</v>
      </c>
      <c r="D171" s="39">
        <f>SUM(D158:D170)</f>
        <v>12000</v>
      </c>
      <c r="E171" s="39">
        <f>SUM(E158:E170)</f>
        <v>24000</v>
      </c>
      <c r="F171" s="39">
        <f>SUM(F158:F170)</f>
        <v>2000</v>
      </c>
      <c r="G171" s="39">
        <f>SUM(G158:G170)</f>
        <v>1500</v>
      </c>
      <c r="H171" s="78"/>
      <c r="I171" s="39">
        <f t="shared" ref="I171:Y171" si="76">SUM(I158:I170)</f>
        <v>3000</v>
      </c>
      <c r="J171" s="39">
        <f t="shared" si="76"/>
        <v>3000</v>
      </c>
      <c r="K171" s="39">
        <f t="shared" si="76"/>
        <v>3000</v>
      </c>
      <c r="L171" s="39">
        <f t="shared" si="76"/>
        <v>3000</v>
      </c>
      <c r="M171" s="39">
        <f t="shared" si="76"/>
        <v>3000</v>
      </c>
      <c r="N171" s="39">
        <f t="shared" si="76"/>
        <v>3000</v>
      </c>
      <c r="O171" s="39">
        <f t="shared" si="76"/>
        <v>3000</v>
      </c>
      <c r="P171" s="39">
        <f t="shared" si="76"/>
        <v>3000</v>
      </c>
      <c r="Q171" s="39">
        <f t="shared" si="76"/>
        <v>0</v>
      </c>
      <c r="R171" s="39">
        <f t="shared" si="76"/>
        <v>0</v>
      </c>
      <c r="S171" s="39">
        <f t="shared" si="76"/>
        <v>0</v>
      </c>
      <c r="T171" s="39">
        <f t="shared" si="76"/>
        <v>0</v>
      </c>
      <c r="U171" s="39">
        <f t="shared" si="76"/>
        <v>3000</v>
      </c>
      <c r="V171" s="39">
        <f t="shared" si="76"/>
        <v>0</v>
      </c>
      <c r="W171" s="39">
        <f t="shared" si="76"/>
        <v>3000</v>
      </c>
      <c r="X171" s="39">
        <f t="shared" si="76"/>
        <v>3000</v>
      </c>
      <c r="Y171" s="39">
        <f t="shared" si="76"/>
        <v>3000</v>
      </c>
      <c r="Z171" s="74"/>
      <c r="AA171" s="39">
        <f t="shared" ref="AA171:AL171" si="77">SUM(AA158:AA170)</f>
        <v>15650</v>
      </c>
      <c r="AB171" s="39">
        <f t="shared" si="77"/>
        <v>3000</v>
      </c>
      <c r="AC171" s="39">
        <f t="shared" si="77"/>
        <v>1500</v>
      </c>
      <c r="AD171" s="39">
        <f t="shared" si="77"/>
        <v>4400</v>
      </c>
      <c r="AE171" s="39">
        <f t="shared" si="77"/>
        <v>20453</v>
      </c>
      <c r="AF171" s="39">
        <f t="shared" si="77"/>
        <v>2500</v>
      </c>
      <c r="AG171" s="39">
        <f t="shared" si="77"/>
        <v>3500</v>
      </c>
      <c r="AH171" s="39">
        <f t="shared" si="77"/>
        <v>7627.5757575757571</v>
      </c>
      <c r="AI171" s="39">
        <f t="shared" si="77"/>
        <v>20000</v>
      </c>
      <c r="AJ171" s="39">
        <f t="shared" si="77"/>
        <v>0</v>
      </c>
      <c r="AK171" s="39">
        <f t="shared" si="77"/>
        <v>48454.799999999996</v>
      </c>
      <c r="AL171" s="39">
        <f t="shared" si="77"/>
        <v>148960</v>
      </c>
      <c r="AM171" s="74"/>
      <c r="AN171" s="57">
        <f>SUM(AN158:AN170)</f>
        <v>395145.37575757573</v>
      </c>
    </row>
    <row r="172" spans="1:40">
      <c r="C172" s="39"/>
      <c r="D172" s="39"/>
      <c r="E172" s="39"/>
      <c r="F172" s="39"/>
      <c r="G172" s="39"/>
      <c r="H172" s="78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74"/>
      <c r="AA172" s="39"/>
      <c r="AB172" s="54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74"/>
      <c r="AN172" s="57"/>
    </row>
    <row r="173" spans="1:40">
      <c r="A173" s="10" t="s">
        <v>164</v>
      </c>
      <c r="C173" s="39"/>
      <c r="D173" s="39"/>
      <c r="E173" s="39"/>
      <c r="F173" s="39"/>
      <c r="G173" s="39"/>
      <c r="H173" s="7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74"/>
      <c r="AA173" s="39"/>
      <c r="AB173" s="54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74"/>
      <c r="AN173" s="57"/>
    </row>
    <row r="174" spans="1:40">
      <c r="A174" s="10" t="s">
        <v>165</v>
      </c>
      <c r="C174" s="39"/>
      <c r="D174" s="39"/>
      <c r="E174" s="39"/>
      <c r="F174" s="39"/>
      <c r="G174" s="39"/>
      <c r="H174" s="78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74"/>
      <c r="AA174" s="39"/>
      <c r="AB174" s="54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74"/>
      <c r="AN174" s="57"/>
    </row>
    <row r="175" spans="1:40">
      <c r="A175" s="10" t="s">
        <v>86</v>
      </c>
      <c r="B175" s="10" t="s">
        <v>85</v>
      </c>
      <c r="C175" s="54">
        <f>SUM(C38+C49)*0.15</f>
        <v>252072.15</v>
      </c>
      <c r="D175" s="54">
        <f>SUM(D38+D49)*0.15</f>
        <v>0</v>
      </c>
      <c r="E175" s="54">
        <f>SUM(E38+E49)*0.15</f>
        <v>0</v>
      </c>
      <c r="F175" s="54">
        <f>SUM(F38+F49)*0.15</f>
        <v>0</v>
      </c>
      <c r="G175" s="54">
        <f>SUM(G38+G49)*0.15</f>
        <v>0</v>
      </c>
      <c r="H175" s="78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74"/>
      <c r="AA175" s="54">
        <f t="shared" ref="AA175:AL175" si="78">SUM(AA38+AA49)*0.15</f>
        <v>0</v>
      </c>
      <c r="AB175" s="54">
        <f t="shared" si="78"/>
        <v>0</v>
      </c>
      <c r="AC175" s="54">
        <f t="shared" si="78"/>
        <v>0</v>
      </c>
      <c r="AD175" s="54">
        <f t="shared" si="78"/>
        <v>0</v>
      </c>
      <c r="AE175" s="54">
        <f t="shared" si="78"/>
        <v>120</v>
      </c>
      <c r="AF175" s="54">
        <f>SUM(AF38+AF49)*0.15</f>
        <v>0</v>
      </c>
      <c r="AG175" s="54">
        <f>SUM(AG38+AG49)*0.15</f>
        <v>5062.5</v>
      </c>
      <c r="AH175" s="54">
        <f>SUM(AH38+AH49)*0.15</f>
        <v>3954.5454545454545</v>
      </c>
      <c r="AI175" s="54">
        <f t="shared" si="78"/>
        <v>0</v>
      </c>
      <c r="AJ175" s="54">
        <f t="shared" si="78"/>
        <v>0</v>
      </c>
      <c r="AK175" s="54">
        <f t="shared" si="78"/>
        <v>4296</v>
      </c>
      <c r="AL175" s="54">
        <f t="shared" si="78"/>
        <v>0</v>
      </c>
      <c r="AM175" s="74"/>
      <c r="AN175" s="67">
        <f t="shared" ref="AN175:AN185" si="79">SUM(C175:G175)+SUM(AA175:AL175)</f>
        <v>265505.19545454544</v>
      </c>
    </row>
    <row r="176" spans="1:40">
      <c r="A176" s="10" t="s">
        <v>91</v>
      </c>
      <c r="B176" s="10" t="s">
        <v>92</v>
      </c>
      <c r="C176" s="39"/>
      <c r="D176" s="39">
        <f t="shared" ref="D176:D185" si="80">SUM(I176:L176)</f>
        <v>0</v>
      </c>
      <c r="E176" s="39">
        <f t="shared" ref="E176:E185" si="81">SUM(M176:Y176)</f>
        <v>0</v>
      </c>
      <c r="F176" s="39"/>
      <c r="G176" s="39"/>
      <c r="H176" s="78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74"/>
      <c r="AA176" s="61">
        <f ca="1">SUM('AC-SVC'!C176)</f>
        <v>0</v>
      </c>
      <c r="AB176" s="61">
        <f ca="1">SUM('AC-SVC'!D176)</f>
        <v>0</v>
      </c>
      <c r="AC176" s="61">
        <f ca="1">SUM('AC-SVC'!E176)</f>
        <v>0</v>
      </c>
      <c r="AD176" s="61">
        <f ca="1">SUM('AC-SVC'!F176)</f>
        <v>0</v>
      </c>
      <c r="AE176" s="61">
        <f ca="1">SUM('AC-SVC'!G176)</f>
        <v>0</v>
      </c>
      <c r="AF176" s="61">
        <f ca="1">SUM('AC-SVC'!H176)</f>
        <v>0</v>
      </c>
      <c r="AG176" s="61">
        <f ca="1">SUM(PT!D176)</f>
        <v>0</v>
      </c>
      <c r="AH176" s="61">
        <f ca="1">SUM(CCLC!D176)</f>
        <v>0</v>
      </c>
      <c r="AI176" s="61">
        <f ca="1">SUM(FC!E176)</f>
        <v>0</v>
      </c>
      <c r="AJ176" s="61">
        <v>0</v>
      </c>
      <c r="AK176" s="61">
        <f ca="1">SUM(FS!E176)</f>
        <v>0</v>
      </c>
      <c r="AL176" s="61">
        <f ca="1">SUM(IT!E176)</f>
        <v>0</v>
      </c>
      <c r="AM176" s="74"/>
      <c r="AN176" s="67">
        <f t="shared" si="79"/>
        <v>0</v>
      </c>
    </row>
    <row r="177" spans="1:40">
      <c r="A177" s="10" t="s">
        <v>93</v>
      </c>
      <c r="B177" s="10" t="s">
        <v>94</v>
      </c>
      <c r="C177" s="39"/>
      <c r="D177" s="39">
        <f t="shared" si="80"/>
        <v>0</v>
      </c>
      <c r="E177" s="39">
        <f t="shared" si="81"/>
        <v>0</v>
      </c>
      <c r="F177" s="39"/>
      <c r="G177" s="39"/>
      <c r="H177" s="78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74"/>
      <c r="AA177" s="61">
        <f ca="1">SUM('AC-SVC'!C177)</f>
        <v>0</v>
      </c>
      <c r="AB177" s="61">
        <f ca="1">SUM('AC-SVC'!D177)</f>
        <v>0</v>
      </c>
      <c r="AC177" s="61">
        <f ca="1">SUM('AC-SVC'!E177)</f>
        <v>0</v>
      </c>
      <c r="AD177" s="61">
        <f ca="1">SUM('AC-SVC'!F177)</f>
        <v>0</v>
      </c>
      <c r="AE177" s="61">
        <f ca="1">SUM('AC-SVC'!G177)</f>
        <v>0</v>
      </c>
      <c r="AF177" s="61">
        <f ca="1">SUM('AC-SVC'!H177)</f>
        <v>0</v>
      </c>
      <c r="AG177" s="61">
        <f ca="1">SUM(PT!D177)</f>
        <v>0</v>
      </c>
      <c r="AH177" s="61">
        <f ca="1">SUM(CCLC!D177)</f>
        <v>0</v>
      </c>
      <c r="AI177" s="61">
        <f ca="1">SUM(FC!E177)</f>
        <v>0</v>
      </c>
      <c r="AJ177" s="61">
        <v>0</v>
      </c>
      <c r="AK177" s="61">
        <f ca="1">SUM(FS!E177)</f>
        <v>0</v>
      </c>
      <c r="AL177" s="61">
        <f ca="1">SUM(IT!E177)</f>
        <v>0</v>
      </c>
      <c r="AM177" s="74"/>
      <c r="AN177" s="67">
        <f t="shared" si="79"/>
        <v>0</v>
      </c>
    </row>
    <row r="178" spans="1:40">
      <c r="A178" s="10" t="s">
        <v>95</v>
      </c>
      <c r="B178" s="10" t="s">
        <v>432</v>
      </c>
      <c r="C178" s="39"/>
      <c r="D178" s="39">
        <f t="shared" si="80"/>
        <v>0</v>
      </c>
      <c r="E178" s="39">
        <f t="shared" si="81"/>
        <v>0</v>
      </c>
      <c r="F178" s="39"/>
      <c r="G178" s="39"/>
      <c r="H178" s="7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74"/>
      <c r="AA178" s="61">
        <f ca="1">SUM('AC-SVC'!C178)</f>
        <v>0</v>
      </c>
      <c r="AB178" s="61">
        <f ca="1">SUM('AC-SVC'!D178)</f>
        <v>0</v>
      </c>
      <c r="AC178" s="61">
        <f ca="1">SUM('AC-SVC'!E178)</f>
        <v>0</v>
      </c>
      <c r="AD178" s="61">
        <f ca="1">SUM('AC-SVC'!F178)</f>
        <v>0</v>
      </c>
      <c r="AE178" s="61">
        <f ca="1">SUM('AC-SVC'!G178)</f>
        <v>0</v>
      </c>
      <c r="AF178" s="61">
        <f ca="1">SUM('AC-SVC'!H178)</f>
        <v>0</v>
      </c>
      <c r="AG178" s="61">
        <f ca="1">SUM(PT!D178)</f>
        <v>0</v>
      </c>
      <c r="AH178" s="61">
        <f ca="1">SUM(CCLC!D178)</f>
        <v>0</v>
      </c>
      <c r="AI178" s="61">
        <f ca="1">SUM(FC!E178)</f>
        <v>0</v>
      </c>
      <c r="AJ178" s="61">
        <v>0</v>
      </c>
      <c r="AK178" s="61">
        <f ca="1">SUM(FS!E178)</f>
        <v>0</v>
      </c>
      <c r="AL178" s="61">
        <f ca="1">SUM(IT!E178)</f>
        <v>0</v>
      </c>
      <c r="AM178" s="74"/>
      <c r="AN178" s="67">
        <f t="shared" si="79"/>
        <v>0</v>
      </c>
    </row>
    <row r="179" spans="1:40">
      <c r="A179" s="10" t="s">
        <v>96</v>
      </c>
      <c r="B179" s="10" t="s">
        <v>431</v>
      </c>
      <c r="C179" s="39"/>
      <c r="D179" s="39">
        <f t="shared" si="80"/>
        <v>0</v>
      </c>
      <c r="E179" s="39">
        <f t="shared" si="81"/>
        <v>0</v>
      </c>
      <c r="F179" s="39"/>
      <c r="G179" s="39"/>
      <c r="H179" s="78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74"/>
      <c r="AA179" s="61">
        <f ca="1">SUM('AC-SVC'!C179)</f>
        <v>0</v>
      </c>
      <c r="AB179" s="61">
        <f ca="1">SUM('AC-SVC'!D179)</f>
        <v>0</v>
      </c>
      <c r="AC179" s="61">
        <f ca="1">SUM('AC-SVC'!E179)</f>
        <v>0</v>
      </c>
      <c r="AD179" s="61">
        <f ca="1">SUM('AC-SVC'!F179)</f>
        <v>0</v>
      </c>
      <c r="AE179" s="61">
        <f ca="1">SUM('AC-SVC'!G179)</f>
        <v>0</v>
      </c>
      <c r="AF179" s="61">
        <f ca="1">SUM('AC-SVC'!H179)</f>
        <v>0</v>
      </c>
      <c r="AG179" s="61">
        <f ca="1">SUM(PT!D179)</f>
        <v>0</v>
      </c>
      <c r="AH179" s="61">
        <f ca="1">SUM(CCLC!D179)</f>
        <v>0</v>
      </c>
      <c r="AI179" s="61">
        <f ca="1">SUM(FC!E179)</f>
        <v>0</v>
      </c>
      <c r="AJ179" s="61">
        <v>0</v>
      </c>
      <c r="AK179" s="61">
        <f ca="1">SUM(FS!E179)</f>
        <v>0</v>
      </c>
      <c r="AL179" s="61">
        <f ca="1">SUM(IT!E179)</f>
        <v>5810</v>
      </c>
      <c r="AM179" s="74"/>
      <c r="AN179" s="67">
        <f t="shared" si="79"/>
        <v>5810</v>
      </c>
    </row>
    <row r="180" spans="1:40">
      <c r="A180" s="10" t="s">
        <v>98</v>
      </c>
      <c r="B180" s="10" t="s">
        <v>99</v>
      </c>
      <c r="C180" s="39"/>
      <c r="D180" s="39">
        <f t="shared" si="80"/>
        <v>0</v>
      </c>
      <c r="E180" s="39">
        <f t="shared" si="81"/>
        <v>0</v>
      </c>
      <c r="F180" s="39"/>
      <c r="G180" s="39"/>
      <c r="H180" s="78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74"/>
      <c r="AA180" s="61">
        <f ca="1">SUM('AC-SVC'!C180)</f>
        <v>0</v>
      </c>
      <c r="AB180" s="61">
        <f ca="1">SUM('AC-SVC'!D180)</f>
        <v>0</v>
      </c>
      <c r="AC180" s="61">
        <f ca="1">SUM('AC-SVC'!E180)</f>
        <v>0</v>
      </c>
      <c r="AD180" s="61">
        <f ca="1">SUM('AC-SVC'!F180)</f>
        <v>0</v>
      </c>
      <c r="AE180" s="61">
        <f ca="1">SUM('AC-SVC'!G180)</f>
        <v>0</v>
      </c>
      <c r="AF180" s="61">
        <f ca="1">SUM('AC-SVC'!H180)</f>
        <v>0</v>
      </c>
      <c r="AG180" s="61">
        <f ca="1">SUM(PT!D180)</f>
        <v>0</v>
      </c>
      <c r="AH180" s="61">
        <f ca="1">SUM(CCLC!D180)</f>
        <v>0</v>
      </c>
      <c r="AI180" s="61">
        <f ca="1">SUM(FC!E180)</f>
        <v>0</v>
      </c>
      <c r="AJ180" s="61">
        <v>0</v>
      </c>
      <c r="AK180" s="61">
        <f ca="1">SUM(FS!E180)</f>
        <v>0</v>
      </c>
      <c r="AL180" s="61">
        <f ca="1">SUM(IT!E180)</f>
        <v>0</v>
      </c>
      <c r="AM180" s="74"/>
      <c r="AN180" s="67">
        <f t="shared" si="79"/>
        <v>0</v>
      </c>
    </row>
    <row r="181" spans="1:40">
      <c r="A181" s="10" t="s">
        <v>100</v>
      </c>
      <c r="B181" s="10" t="s">
        <v>287</v>
      </c>
      <c r="C181" s="39"/>
      <c r="D181" s="39">
        <f t="shared" si="80"/>
        <v>0</v>
      </c>
      <c r="E181" s="39">
        <f t="shared" si="81"/>
        <v>0</v>
      </c>
      <c r="F181" s="39"/>
      <c r="G181" s="39"/>
      <c r="H181" s="78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74"/>
      <c r="AA181" s="61">
        <f ca="1">SUM('AC-SVC'!C181)</f>
        <v>0</v>
      </c>
      <c r="AB181" s="61">
        <f ca="1">SUM('AC-SVC'!D181)</f>
        <v>0</v>
      </c>
      <c r="AC181" s="61">
        <f ca="1">SUM('AC-SVC'!E181)</f>
        <v>0</v>
      </c>
      <c r="AD181" s="61">
        <f ca="1">SUM('AC-SVC'!F181)</f>
        <v>0</v>
      </c>
      <c r="AE181" s="61">
        <f ca="1">SUM('AC-SVC'!G181)</f>
        <v>0</v>
      </c>
      <c r="AF181" s="61">
        <f ca="1">SUM('AC-SVC'!H181)</f>
        <v>0</v>
      </c>
      <c r="AG181" s="61">
        <f ca="1">SUM(PT!D181)</f>
        <v>0</v>
      </c>
      <c r="AH181" s="61">
        <f ca="1">SUM(CCLC!D181)</f>
        <v>362.5</v>
      </c>
      <c r="AI181" s="61">
        <f ca="1">SUM(FC!E181)</f>
        <v>0</v>
      </c>
      <c r="AJ181" s="61">
        <v>0</v>
      </c>
      <c r="AK181" s="61">
        <f ca="1">SUM(FS!E181)</f>
        <v>0</v>
      </c>
      <c r="AL181" s="61">
        <f ca="1">SUM(IT!E181)</f>
        <v>0</v>
      </c>
      <c r="AM181" s="74"/>
      <c r="AN181" s="67">
        <f t="shared" si="79"/>
        <v>362.5</v>
      </c>
    </row>
    <row r="182" spans="1:40">
      <c r="A182" s="10" t="s">
        <v>101</v>
      </c>
      <c r="B182" s="10" t="s">
        <v>102</v>
      </c>
      <c r="C182" s="39"/>
      <c r="D182" s="39">
        <f t="shared" si="80"/>
        <v>0</v>
      </c>
      <c r="E182" s="39">
        <f t="shared" si="81"/>
        <v>0</v>
      </c>
      <c r="F182" s="39"/>
      <c r="G182" s="39"/>
      <c r="H182" s="78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74"/>
      <c r="AA182" s="61">
        <f ca="1">SUM('AC-SVC'!C182)</f>
        <v>0</v>
      </c>
      <c r="AB182" s="61">
        <f ca="1">SUM('AC-SVC'!D182)</f>
        <v>0</v>
      </c>
      <c r="AC182" s="61">
        <f ca="1">SUM('AC-SVC'!E182)</f>
        <v>0</v>
      </c>
      <c r="AD182" s="61">
        <f ca="1">SUM('AC-SVC'!F182)</f>
        <v>0</v>
      </c>
      <c r="AE182" s="61">
        <f ca="1">SUM('AC-SVC'!G182)</f>
        <v>0</v>
      </c>
      <c r="AF182" s="61">
        <f ca="1">SUM('AC-SVC'!H182)</f>
        <v>0</v>
      </c>
      <c r="AG182" s="61">
        <f ca="1">SUM(PT!D182)</f>
        <v>0</v>
      </c>
      <c r="AH182" s="61">
        <f ca="1">SUM(CCLC!D182)</f>
        <v>0</v>
      </c>
      <c r="AI182" s="61">
        <f ca="1">SUM(FC!E182)</f>
        <v>0</v>
      </c>
      <c r="AJ182" s="61">
        <v>0</v>
      </c>
      <c r="AK182" s="61">
        <f ca="1">SUM(FS!E182)</f>
        <v>0</v>
      </c>
      <c r="AL182" s="61">
        <f ca="1">SUM(IT!E182)</f>
        <v>0</v>
      </c>
      <c r="AM182" s="74"/>
      <c r="AN182" s="67">
        <f t="shared" si="79"/>
        <v>0</v>
      </c>
    </row>
    <row r="183" spans="1:40">
      <c r="A183" s="10" t="s">
        <v>105</v>
      </c>
      <c r="B183" s="10" t="s">
        <v>167</v>
      </c>
      <c r="C183" s="39"/>
      <c r="D183" s="39">
        <f t="shared" si="80"/>
        <v>0</v>
      </c>
      <c r="E183" s="39">
        <f t="shared" si="81"/>
        <v>0</v>
      </c>
      <c r="F183" s="39"/>
      <c r="G183" s="39"/>
      <c r="H183" s="7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74"/>
      <c r="AA183" s="61">
        <f ca="1">SUM('AC-SVC'!C183)</f>
        <v>0</v>
      </c>
      <c r="AB183" s="61">
        <f ca="1">SUM('AC-SVC'!D183)</f>
        <v>0</v>
      </c>
      <c r="AC183" s="61">
        <f ca="1">SUM('AC-SVC'!E183)</f>
        <v>0</v>
      </c>
      <c r="AD183" s="61">
        <f ca="1">SUM('AC-SVC'!F183)</f>
        <v>0</v>
      </c>
      <c r="AE183" s="61">
        <f ca="1">SUM('AC-SVC'!G183)</f>
        <v>0</v>
      </c>
      <c r="AF183" s="61">
        <f ca="1">SUM('AC-SVC'!H183)</f>
        <v>0</v>
      </c>
      <c r="AG183" s="61">
        <f ca="1">SUM(PT!D183)</f>
        <v>0</v>
      </c>
      <c r="AH183" s="61">
        <f ca="1">SUM(CCLC!D183)</f>
        <v>0</v>
      </c>
      <c r="AI183" s="61">
        <f ca="1">SUM(FC!E183)</f>
        <v>0</v>
      </c>
      <c r="AJ183" s="61">
        <v>0</v>
      </c>
      <c r="AK183" s="61">
        <f ca="1">SUM(FS!E183)</f>
        <v>0</v>
      </c>
      <c r="AL183" s="61">
        <f ca="1">SUM(IT!E183)</f>
        <v>0</v>
      </c>
      <c r="AM183" s="74"/>
      <c r="AN183" s="67">
        <f t="shared" si="79"/>
        <v>0</v>
      </c>
    </row>
    <row r="184" spans="1:40">
      <c r="A184" s="10" t="s">
        <v>106</v>
      </c>
      <c r="B184" s="10" t="s">
        <v>107</v>
      </c>
      <c r="C184" s="39"/>
      <c r="D184" s="39">
        <f>SUM(I184:L184)</f>
        <v>0</v>
      </c>
      <c r="E184" s="39">
        <f>SUM(M184:Y184)</f>
        <v>0</v>
      </c>
      <c r="F184" s="39"/>
      <c r="G184" s="39"/>
      <c r="H184" s="78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74"/>
      <c r="AA184" s="61">
        <f ca="1">SUM('AC-SVC'!C184)</f>
        <v>0</v>
      </c>
      <c r="AB184" s="61">
        <f ca="1">SUM('AC-SVC'!D184)</f>
        <v>0</v>
      </c>
      <c r="AC184" s="61">
        <f ca="1">SUM('AC-SVC'!E184)</f>
        <v>0</v>
      </c>
      <c r="AD184" s="61">
        <f ca="1">SUM('AC-SVC'!F184)</f>
        <v>0</v>
      </c>
      <c r="AE184" s="61">
        <f ca="1">SUM('AC-SVC'!G184)</f>
        <v>0</v>
      </c>
      <c r="AF184" s="61">
        <f ca="1">SUM('AC-SVC'!H184)</f>
        <v>0</v>
      </c>
      <c r="AG184" s="61">
        <f ca="1">SUM(PT!D184)</f>
        <v>0</v>
      </c>
      <c r="AH184" s="61">
        <f ca="1">SUM(CCLC!D184)</f>
        <v>0</v>
      </c>
      <c r="AI184" s="61">
        <f ca="1">SUM(FC!E184)</f>
        <v>0</v>
      </c>
      <c r="AJ184" s="61">
        <v>0</v>
      </c>
      <c r="AK184" s="61">
        <f ca="1">SUM(FS!E184)</f>
        <v>0</v>
      </c>
      <c r="AL184" s="61">
        <f ca="1">SUM(IT!E184)</f>
        <v>0</v>
      </c>
      <c r="AM184" s="74"/>
      <c r="AN184" s="67">
        <f t="shared" si="79"/>
        <v>0</v>
      </c>
    </row>
    <row r="185" spans="1:40">
      <c r="A185" s="10" t="s">
        <v>465</v>
      </c>
      <c r="B185" s="10" t="s">
        <v>466</v>
      </c>
      <c r="C185" s="40"/>
      <c r="D185" s="40">
        <f t="shared" si="80"/>
        <v>0</v>
      </c>
      <c r="E185" s="40">
        <f t="shared" si="81"/>
        <v>0</v>
      </c>
      <c r="F185" s="40"/>
      <c r="G185" s="40"/>
      <c r="H185" s="8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74"/>
      <c r="AA185" s="40">
        <f ca="1">SUM('AC-SVC'!C185)</f>
        <v>0</v>
      </c>
      <c r="AB185" s="40">
        <f ca="1">SUM('AC-SVC'!D185)</f>
        <v>0</v>
      </c>
      <c r="AC185" s="40">
        <f ca="1">SUM('AC-SVC'!E185)</f>
        <v>0</v>
      </c>
      <c r="AD185" s="40">
        <f ca="1">SUM('AC-SVC'!F185)</f>
        <v>0</v>
      </c>
      <c r="AE185" s="40">
        <f ca="1">SUM('AC-SVC'!G185)</f>
        <v>0</v>
      </c>
      <c r="AF185" s="40">
        <f ca="1">SUM('AC-SVC'!H185)</f>
        <v>0</v>
      </c>
      <c r="AG185" s="40">
        <f ca="1">SUM(PT!D185)</f>
        <v>0</v>
      </c>
      <c r="AH185" s="40">
        <f ca="1">SUM(CCLC!D185)</f>
        <v>0</v>
      </c>
      <c r="AI185" s="40">
        <f ca="1">SUM(FC!E185)</f>
        <v>0</v>
      </c>
      <c r="AJ185" s="40">
        <v>0</v>
      </c>
      <c r="AK185" s="40">
        <f ca="1">SUM(FS!E185)</f>
        <v>0</v>
      </c>
      <c r="AL185" s="40">
        <f ca="1">SUM(IT!E185)</f>
        <v>0</v>
      </c>
      <c r="AM185" s="74"/>
      <c r="AN185" s="66">
        <f t="shared" si="79"/>
        <v>0</v>
      </c>
    </row>
    <row r="186" spans="1:40">
      <c r="B186" s="10" t="s">
        <v>168</v>
      </c>
      <c r="C186" s="39">
        <f>SUM(C175:C185)</f>
        <v>252072.15</v>
      </c>
      <c r="D186" s="39">
        <f>SUM(D175:D185)</f>
        <v>0</v>
      </c>
      <c r="E186" s="39">
        <f>SUM(E175:E185)</f>
        <v>0</v>
      </c>
      <c r="F186" s="39">
        <f>SUM(F175:F185)</f>
        <v>0</v>
      </c>
      <c r="G186" s="39">
        <f>SUM(G175:G185)</f>
        <v>0</v>
      </c>
      <c r="H186" s="78"/>
      <c r="I186" s="39">
        <f t="shared" ref="I186:Y186" si="82">SUM(I175:I185)</f>
        <v>0</v>
      </c>
      <c r="J186" s="39">
        <f t="shared" si="82"/>
        <v>0</v>
      </c>
      <c r="K186" s="39">
        <f t="shared" si="82"/>
        <v>0</v>
      </c>
      <c r="L186" s="39">
        <f t="shared" si="82"/>
        <v>0</v>
      </c>
      <c r="M186" s="39">
        <f t="shared" si="82"/>
        <v>0</v>
      </c>
      <c r="N186" s="39">
        <f t="shared" si="82"/>
        <v>0</v>
      </c>
      <c r="O186" s="39">
        <f t="shared" si="82"/>
        <v>0</v>
      </c>
      <c r="P186" s="39">
        <f t="shared" si="82"/>
        <v>0</v>
      </c>
      <c r="Q186" s="39">
        <f t="shared" si="82"/>
        <v>0</v>
      </c>
      <c r="R186" s="39">
        <f t="shared" si="82"/>
        <v>0</v>
      </c>
      <c r="S186" s="39">
        <f t="shared" si="82"/>
        <v>0</v>
      </c>
      <c r="T186" s="39">
        <f t="shared" si="82"/>
        <v>0</v>
      </c>
      <c r="U186" s="39">
        <f t="shared" si="82"/>
        <v>0</v>
      </c>
      <c r="V186" s="39">
        <f t="shared" si="82"/>
        <v>0</v>
      </c>
      <c r="W186" s="39">
        <f t="shared" si="82"/>
        <v>0</v>
      </c>
      <c r="X186" s="39">
        <f t="shared" si="82"/>
        <v>0</v>
      </c>
      <c r="Y186" s="39">
        <f t="shared" si="82"/>
        <v>0</v>
      </c>
      <c r="Z186" s="74"/>
      <c r="AA186" s="39">
        <f t="shared" ref="AA186:AL186" si="83">SUM(AA175:AA185)</f>
        <v>0</v>
      </c>
      <c r="AB186" s="39">
        <f t="shared" si="83"/>
        <v>0</v>
      </c>
      <c r="AC186" s="39">
        <f t="shared" si="83"/>
        <v>0</v>
      </c>
      <c r="AD186" s="39">
        <f t="shared" si="83"/>
        <v>0</v>
      </c>
      <c r="AE186" s="39">
        <f t="shared" si="83"/>
        <v>120</v>
      </c>
      <c r="AF186" s="39">
        <f t="shared" si="83"/>
        <v>0</v>
      </c>
      <c r="AG186" s="39">
        <f t="shared" si="83"/>
        <v>5062.5</v>
      </c>
      <c r="AH186" s="39">
        <f t="shared" si="83"/>
        <v>4317.045454545454</v>
      </c>
      <c r="AI186" s="39">
        <f t="shared" si="83"/>
        <v>0</v>
      </c>
      <c r="AJ186" s="39">
        <f t="shared" si="83"/>
        <v>0</v>
      </c>
      <c r="AK186" s="39">
        <f t="shared" si="83"/>
        <v>4296</v>
      </c>
      <c r="AL186" s="39">
        <f t="shared" si="83"/>
        <v>5810</v>
      </c>
      <c r="AM186" s="74"/>
      <c r="AN186" s="57">
        <f>SUM(AN175:AN185)</f>
        <v>271677.69545454544</v>
      </c>
    </row>
    <row r="187" spans="1:40">
      <c r="C187" s="39"/>
      <c r="D187" s="39"/>
      <c r="E187" s="39"/>
      <c r="F187" s="39"/>
      <c r="G187" s="39"/>
      <c r="H187" s="78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74"/>
      <c r="AA187" s="39"/>
      <c r="AB187" s="54"/>
      <c r="AC187" s="39"/>
      <c r="AD187" s="39"/>
      <c r="AE187" s="39"/>
      <c r="AG187" s="39"/>
      <c r="AH187" s="39"/>
      <c r="AI187" s="39"/>
      <c r="AJ187" s="39"/>
      <c r="AK187" s="39"/>
      <c r="AL187" s="39"/>
      <c r="AM187" s="74"/>
      <c r="AN187" s="57"/>
    </row>
    <row r="188" spans="1:40" s="4" customFormat="1" ht="10.5">
      <c r="A188" s="14"/>
      <c r="B188" s="37" t="s">
        <v>169</v>
      </c>
      <c r="C188" s="41">
        <f>+C122+C133+C141+C150+C155+C171+C186</f>
        <v>335272.15000000002</v>
      </c>
      <c r="D188" s="41">
        <f>+D122+D133+D141+D150+D155+D171+D186</f>
        <v>14400</v>
      </c>
      <c r="E188" s="41">
        <f>+E122+E133+E141+E150+E155+E171+E186</f>
        <v>38800</v>
      </c>
      <c r="F188" s="41">
        <f>+F122+F133+F141+F150+F155+F171+F186</f>
        <v>4160</v>
      </c>
      <c r="G188" s="41">
        <f>+G122+G133+G141+G150+G155+G171+G186</f>
        <v>3160</v>
      </c>
      <c r="H188" s="81"/>
      <c r="I188" s="41">
        <f t="shared" ref="I188:Y188" si="84">+I122+I133+I141+I150+I155+I171+I186</f>
        <v>3600</v>
      </c>
      <c r="J188" s="41">
        <f t="shared" si="84"/>
        <v>3600</v>
      </c>
      <c r="K188" s="41">
        <f>+K122+K133+K141+K150+K155+K171+K186</f>
        <v>3600</v>
      </c>
      <c r="L188" s="41">
        <f t="shared" si="84"/>
        <v>3600</v>
      </c>
      <c r="M188" s="41">
        <f t="shared" si="84"/>
        <v>3600</v>
      </c>
      <c r="N188" s="41">
        <f t="shared" si="84"/>
        <v>3600</v>
      </c>
      <c r="O188" s="41">
        <f t="shared" si="84"/>
        <v>3600</v>
      </c>
      <c r="P188" s="41">
        <f t="shared" si="84"/>
        <v>3600</v>
      </c>
      <c r="Q188" s="41">
        <f t="shared" si="84"/>
        <v>0</v>
      </c>
      <c r="R188" s="41">
        <f t="shared" si="84"/>
        <v>0</v>
      </c>
      <c r="S188" s="41">
        <f t="shared" si="84"/>
        <v>0</v>
      </c>
      <c r="T188" s="41">
        <f t="shared" si="84"/>
        <v>0</v>
      </c>
      <c r="U188" s="41">
        <f t="shared" si="84"/>
        <v>3600</v>
      </c>
      <c r="V188" s="41">
        <f t="shared" si="84"/>
        <v>10000</v>
      </c>
      <c r="W188" s="41">
        <f t="shared" si="84"/>
        <v>3600</v>
      </c>
      <c r="X188" s="41">
        <f t="shared" si="84"/>
        <v>3600</v>
      </c>
      <c r="Y188" s="41">
        <f t="shared" si="84"/>
        <v>3600</v>
      </c>
      <c r="Z188" s="77"/>
      <c r="AA188" s="41">
        <f t="shared" ref="AA188:AL188" si="85">+AA122+AA133+AA141+AA150+AA155+AA171+AA186</f>
        <v>18025</v>
      </c>
      <c r="AB188" s="57">
        <f t="shared" si="85"/>
        <v>7570</v>
      </c>
      <c r="AC188" s="41">
        <f t="shared" si="85"/>
        <v>6570</v>
      </c>
      <c r="AD188" s="41">
        <f t="shared" si="85"/>
        <v>6470</v>
      </c>
      <c r="AE188" s="41">
        <f t="shared" si="85"/>
        <v>21073</v>
      </c>
      <c r="AF188" s="41">
        <f t="shared" si="85"/>
        <v>4035</v>
      </c>
      <c r="AG188" s="41">
        <f t="shared" si="85"/>
        <v>13062.5</v>
      </c>
      <c r="AH188" s="41">
        <f t="shared" si="85"/>
        <v>59602.242883379251</v>
      </c>
      <c r="AI188" s="41">
        <f t="shared" si="85"/>
        <v>375687.55</v>
      </c>
      <c r="AJ188" s="41">
        <f t="shared" si="85"/>
        <v>0</v>
      </c>
      <c r="AK188" s="41">
        <f t="shared" si="85"/>
        <v>54490.799999999996</v>
      </c>
      <c r="AL188" s="41">
        <f t="shared" si="85"/>
        <v>203130.4</v>
      </c>
      <c r="AM188" s="77"/>
      <c r="AN188" s="57">
        <f>+AN122+AN133+AN141+AN150+AN155+AN171+AN186</f>
        <v>1165508.6428833792</v>
      </c>
    </row>
    <row r="189" spans="1:40">
      <c r="B189" s="33"/>
      <c r="C189" s="39"/>
      <c r="D189" s="39"/>
      <c r="E189" s="39"/>
      <c r="F189" s="39"/>
      <c r="G189" s="39"/>
      <c r="H189" s="78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74"/>
      <c r="AA189" s="39"/>
      <c r="AB189" s="54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74"/>
      <c r="AN189" s="57"/>
    </row>
    <row r="190" spans="1:40">
      <c r="A190" s="50"/>
      <c r="B190" s="37" t="s">
        <v>476</v>
      </c>
      <c r="C190" s="54">
        <f t="shared" ref="C190:Y190" si="86">SUM(C104+C188)</f>
        <v>335272.15000000002</v>
      </c>
      <c r="D190" s="54">
        <f t="shared" si="86"/>
        <v>303553.13817075605</v>
      </c>
      <c r="E190" s="54">
        <f t="shared" si="86"/>
        <v>509620.67253532517</v>
      </c>
      <c r="F190" s="54">
        <f t="shared" si="86"/>
        <v>75025.452794971759</v>
      </c>
      <c r="G190" s="54">
        <f t="shared" si="86"/>
        <v>76011.238297820673</v>
      </c>
      <c r="H190" s="78"/>
      <c r="I190" s="54">
        <f t="shared" si="86"/>
        <v>75348.115472199992</v>
      </c>
      <c r="J190" s="54">
        <f t="shared" si="86"/>
        <v>84306.003092612489</v>
      </c>
      <c r="K190" s="54">
        <f>SUM(K104+K188)</f>
        <v>87397.196334505788</v>
      </c>
      <c r="L190" s="54">
        <f t="shared" si="86"/>
        <v>56501.823271437795</v>
      </c>
      <c r="M190" s="54">
        <f t="shared" si="86"/>
        <v>84763.422991437808</v>
      </c>
      <c r="N190" s="54">
        <f t="shared" si="86"/>
        <v>84763.422991437808</v>
      </c>
      <c r="O190" s="54">
        <f t="shared" si="86"/>
        <v>87230.59035130433</v>
      </c>
      <c r="P190" s="54">
        <f t="shared" si="86"/>
        <v>84483.422991437808</v>
      </c>
      <c r="Q190" s="54">
        <f t="shared" si="86"/>
        <v>0</v>
      </c>
      <c r="R190" s="54">
        <f t="shared" si="86"/>
        <v>0</v>
      </c>
      <c r="S190" s="54">
        <f t="shared" si="86"/>
        <v>0</v>
      </c>
      <c r="T190" s="54">
        <f t="shared" si="86"/>
        <v>0</v>
      </c>
      <c r="U190" s="54">
        <f t="shared" si="86"/>
        <v>55313.18497701249</v>
      </c>
      <c r="V190" s="54">
        <f t="shared" si="86"/>
        <v>13887.653200000001</v>
      </c>
      <c r="W190" s="54">
        <f t="shared" si="86"/>
        <v>30190.911635718898</v>
      </c>
      <c r="X190" s="54">
        <f t="shared" si="86"/>
        <v>25599.994230257493</v>
      </c>
      <c r="Y190" s="54">
        <f t="shared" si="86"/>
        <v>43388.06916671856</v>
      </c>
      <c r="Z190" s="74"/>
      <c r="AA190" s="54">
        <f>SUM(AA104+AA188)</f>
        <v>36996.068950411922</v>
      </c>
      <c r="AB190" s="54">
        <f t="shared" ref="AB190:AL190" si="87">SUM(AB104+AB188)</f>
        <v>39788.309088941518</v>
      </c>
      <c r="AC190" s="54">
        <f t="shared" si="87"/>
        <v>34004.736563700004</v>
      </c>
      <c r="AD190" s="54">
        <f t="shared" si="87"/>
        <v>38093.439803079338</v>
      </c>
      <c r="AE190" s="54">
        <f t="shared" si="87"/>
        <v>30966.830880720001</v>
      </c>
      <c r="AF190" s="54">
        <f>SUM(AF104+AF188)</f>
        <v>20477.654996000001</v>
      </c>
      <c r="AG190" s="54">
        <f t="shared" si="87"/>
        <v>34665.311576</v>
      </c>
      <c r="AH190" s="54">
        <f t="shared" si="87"/>
        <v>91073.843489439867</v>
      </c>
      <c r="AI190" s="54">
        <f t="shared" si="87"/>
        <v>438656.28939280001</v>
      </c>
      <c r="AJ190" s="54">
        <f t="shared" si="87"/>
        <v>0</v>
      </c>
      <c r="AK190" s="54">
        <f t="shared" si="87"/>
        <v>111595.29842840001</v>
      </c>
      <c r="AL190" s="54">
        <f t="shared" si="87"/>
        <v>216607.08308550893</v>
      </c>
      <c r="AM190" s="74"/>
      <c r="AN190" s="57">
        <f>SUM(AN104+AN188)</f>
        <v>2392407.5180538753</v>
      </c>
    </row>
    <row r="191" spans="1:40" s="4" customFormat="1">
      <c r="A191" s="10"/>
      <c r="B191" s="33"/>
      <c r="C191" s="39"/>
      <c r="D191" s="39"/>
      <c r="E191" s="39"/>
      <c r="F191" s="39"/>
      <c r="G191" s="39"/>
      <c r="H191" s="78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77"/>
      <c r="AA191" s="39"/>
      <c r="AB191" s="54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77"/>
      <c r="AN191" s="57"/>
    </row>
    <row r="192" spans="1:40">
      <c r="A192" s="50">
        <f>+SUM(C192:G192)</f>
        <v>832013.34820112656</v>
      </c>
      <c r="B192" s="37" t="s">
        <v>170</v>
      </c>
      <c r="C192" s="41">
        <f>+C68-C104-C188</f>
        <v>1796223.85</v>
      </c>
      <c r="D192" s="41">
        <f>+D68-D104-D188</f>
        <v>-303553.13817075605</v>
      </c>
      <c r="E192" s="41">
        <f>+E68-E104-E188</f>
        <v>-509620.67253532517</v>
      </c>
      <c r="F192" s="41">
        <f>+F68-F104-F188</f>
        <v>-75025.452794971759</v>
      </c>
      <c r="G192" s="41">
        <f>+G68-G104-G188</f>
        <v>-76011.238297820673</v>
      </c>
      <c r="H192" s="81"/>
      <c r="I192" s="41">
        <f t="shared" ref="I192:Y192" si="88">+I68-I104-I188</f>
        <v>-75348.115472199992</v>
      </c>
      <c r="J192" s="41">
        <f t="shared" si="88"/>
        <v>-84306.003092612489</v>
      </c>
      <c r="K192" s="41">
        <f>+K68-K104-K188</f>
        <v>-87397.196334505788</v>
      </c>
      <c r="L192" s="41">
        <f t="shared" si="88"/>
        <v>-56501.823271437795</v>
      </c>
      <c r="M192" s="41">
        <f t="shared" si="88"/>
        <v>-84763.422991437808</v>
      </c>
      <c r="N192" s="41">
        <f t="shared" si="88"/>
        <v>-84763.422991437808</v>
      </c>
      <c r="O192" s="41">
        <f t="shared" si="88"/>
        <v>-87230.59035130433</v>
      </c>
      <c r="P192" s="41">
        <f t="shared" si="88"/>
        <v>-84483.422991437808</v>
      </c>
      <c r="Q192" s="41">
        <f t="shared" si="88"/>
        <v>0</v>
      </c>
      <c r="R192" s="41">
        <f t="shared" si="88"/>
        <v>0</v>
      </c>
      <c r="S192" s="41">
        <f t="shared" si="88"/>
        <v>0</v>
      </c>
      <c r="T192" s="41">
        <f t="shared" si="88"/>
        <v>0</v>
      </c>
      <c r="U192" s="41">
        <f t="shared" si="88"/>
        <v>-55313.18497701249</v>
      </c>
      <c r="V192" s="41">
        <f t="shared" si="88"/>
        <v>-13887.653200000001</v>
      </c>
      <c r="W192" s="41">
        <f t="shared" si="88"/>
        <v>-30190.911635718898</v>
      </c>
      <c r="X192" s="41">
        <f t="shared" si="88"/>
        <v>-25599.994230257493</v>
      </c>
      <c r="Y192" s="41">
        <f t="shared" si="88"/>
        <v>-43388.06916671856</v>
      </c>
      <c r="Z192" s="74"/>
      <c r="AA192" s="41">
        <f t="shared" ref="AA192:AL192" si="89">+AA68-AA104-AA188</f>
        <v>-36996.068950411922</v>
      </c>
      <c r="AB192" s="57">
        <f t="shared" si="89"/>
        <v>22711.690911058478</v>
      </c>
      <c r="AC192" s="41">
        <f t="shared" si="89"/>
        <v>-34004.736563700004</v>
      </c>
      <c r="AD192" s="41">
        <f t="shared" si="89"/>
        <v>-38093.439803079338</v>
      </c>
      <c r="AE192" s="41">
        <f t="shared" si="89"/>
        <v>-30166.830880720001</v>
      </c>
      <c r="AF192" s="41">
        <f t="shared" si="89"/>
        <v>-20477.654996000001</v>
      </c>
      <c r="AG192" s="41">
        <f t="shared" si="89"/>
        <v>-915.31157600000006</v>
      </c>
      <c r="AH192" s="41">
        <f t="shared" si="89"/>
        <v>-31112.207125803492</v>
      </c>
      <c r="AI192" s="41">
        <f t="shared" si="89"/>
        <v>-438656.28939280001</v>
      </c>
      <c r="AJ192" s="41">
        <f t="shared" si="89"/>
        <v>0</v>
      </c>
      <c r="AK192" s="41">
        <f t="shared" si="89"/>
        <v>-24816.098428399993</v>
      </c>
      <c r="AL192" s="41">
        <f t="shared" si="89"/>
        <v>-199229.94608550894</v>
      </c>
      <c r="AM192" s="74"/>
      <c r="AN192" s="57">
        <f>SUM(AN68-AN190)</f>
        <v>256.45530976122245</v>
      </c>
    </row>
    <row r="193" spans="4:37">
      <c r="D193" s="1">
        <f>+SUM(I192:L192)-D192</f>
        <v>0</v>
      </c>
      <c r="E193" s="1">
        <f>+SUM(M192:Y192)-E192</f>
        <v>0</v>
      </c>
      <c r="AA193" s="59"/>
      <c r="AB193" s="60"/>
      <c r="AC193" s="59"/>
      <c r="AD193" s="59"/>
      <c r="AE193" s="59"/>
      <c r="AH193" s="39"/>
      <c r="AI193" s="39"/>
      <c r="AK193" s="39"/>
    </row>
    <row r="194" spans="4:37">
      <c r="AA194" s="59"/>
      <c r="AB194" s="60"/>
      <c r="AC194" s="59"/>
      <c r="AD194" s="59"/>
      <c r="AE194" s="59"/>
    </row>
    <row r="195" spans="4:37">
      <c r="AA195" s="59"/>
      <c r="AB195" s="60"/>
      <c r="AC195" s="59"/>
      <c r="AD195" s="59"/>
      <c r="AE195" s="59"/>
    </row>
    <row r="196" spans="4:37">
      <c r="AA196" s="59"/>
      <c r="AB196" s="60"/>
      <c r="AC196" s="59"/>
      <c r="AD196" s="59"/>
      <c r="AE196" s="59"/>
    </row>
  </sheetData>
  <phoneticPr fontId="3" type="noConversion"/>
  <pageMargins left="0.25" right="0.4" top="1.2" bottom="0.36" header="0.17" footer="0.16"/>
  <pageSetup scale="34" fitToHeight="3" orientation="landscape" r:id="rId1"/>
  <headerFooter alignWithMargins="0">
    <oddHeader>&amp;C&amp;"MS Sans Serif,Bold"&amp;18INTERNATIONAL SCHOOL OF LOUISIANA
OLIVIER STREET CAMPUS&amp;"MS Sans Serif,Regular"&amp;10
&amp;"MS Sans Serif,Bold"&amp;13BUDGET '12-2013&amp;"MS Sans Serif,Regular"&amp;10
&amp;"MS Sans Serif,Bold Italic"&amp;8version 1</oddHeader>
    <oddFooter>&amp;L&amp;6&amp;Z&amp;F&amp;R&amp;P of &amp;N</oddFooter>
  </headerFooter>
  <ignoredErrors>
    <ignoredError sqref="D7:E7 D110:E110 D154:E154" formulaRange="1"/>
    <ignoredError sqref="E10 G10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Z196"/>
  <sheetViews>
    <sheetView workbookViewId="0">
      <pane xSplit="2" ySplit="10" topLeftCell="C38" activePane="bottomRight" state="frozen"/>
      <selection activeCell="A116" sqref="A116:IV116"/>
      <selection pane="topRight" activeCell="A116" sqref="A116:IV116"/>
      <selection pane="bottomLeft" activeCell="A116" sqref="A116:IV116"/>
      <selection pane="bottomRight" activeCell="C53" sqref="C53"/>
    </sheetView>
  </sheetViews>
  <sheetFormatPr defaultColWidth="11.42578125" defaultRowHeight="11.25"/>
  <cols>
    <col min="1" max="1" width="18" style="33" customWidth="1"/>
    <col min="2" max="2" width="26.85546875" style="33" customWidth="1"/>
    <col min="3" max="3" width="11.42578125" style="28"/>
    <col min="4" max="4" width="8.5703125" style="28" bestFit="1" customWidth="1"/>
    <col min="5" max="5" width="9.85546875" style="28" customWidth="1"/>
    <col min="6" max="7" width="8.5703125" style="28" customWidth="1"/>
    <col min="8" max="8" width="8.7109375" style="28" customWidth="1"/>
    <col min="9" max="9" width="3.140625" style="28" customWidth="1" collapsed="1"/>
    <col min="10" max="13" width="11.42578125" style="28" customWidth="1"/>
    <col min="14" max="14" width="2.85546875" style="28" customWidth="1"/>
    <col min="15" max="38" width="11.42578125" style="28" customWidth="1"/>
    <col min="39" max="39" width="2.7109375" style="28" customWidth="1"/>
    <col min="40" max="40" width="8.28515625" style="1" bestFit="1" customWidth="1"/>
    <col min="41" max="41" width="8.5703125" style="28" bestFit="1" customWidth="1"/>
    <col min="42" max="44" width="9.140625" style="1" bestFit="1" customWidth="1"/>
    <col min="45" max="45" width="7.7109375" style="1" bestFit="1" customWidth="1"/>
    <col min="46" max="46" width="9" style="1" bestFit="1" customWidth="1"/>
    <col min="47" max="47" width="9.28515625" style="1" bestFit="1" customWidth="1"/>
    <col min="48" max="48" width="9.85546875" style="1" bestFit="1" customWidth="1"/>
    <col min="49" max="49" width="8.5703125" style="1" bestFit="1" customWidth="1"/>
    <col min="50" max="50" width="10.140625" style="1" bestFit="1" customWidth="1"/>
    <col min="51" max="51" width="3.7109375" style="1" customWidth="1"/>
    <col min="52" max="52" width="11.42578125" style="56"/>
    <col min="53" max="16384" width="11.42578125" style="28"/>
  </cols>
  <sheetData>
    <row r="1" spans="1:52">
      <c r="C1" s="28" t="s">
        <v>268</v>
      </c>
      <c r="I1" s="74"/>
      <c r="AM1" s="74"/>
      <c r="AY1" s="74"/>
    </row>
    <row r="2" spans="1:52">
      <c r="I2" s="74"/>
      <c r="AM2" s="74"/>
      <c r="AO2" s="28" t="s">
        <v>269</v>
      </c>
      <c r="AY2" s="74"/>
    </row>
    <row r="3" spans="1:52">
      <c r="C3" s="28" t="s">
        <v>270</v>
      </c>
      <c r="I3" s="74"/>
      <c r="AM3" s="74"/>
      <c r="AY3" s="74"/>
    </row>
    <row r="4" spans="1:52">
      <c r="I4" s="74"/>
      <c r="AM4" s="74"/>
      <c r="AY4" s="74"/>
    </row>
    <row r="5" spans="1:52">
      <c r="B5" s="34"/>
      <c r="I5" s="74"/>
      <c r="AM5" s="74"/>
      <c r="AY5" s="74"/>
    </row>
    <row r="6" spans="1:52">
      <c r="I6" s="74"/>
      <c r="AM6" s="74"/>
      <c r="AU6" s="1" t="s">
        <v>483</v>
      </c>
      <c r="AV6" s="63" t="s">
        <v>446</v>
      </c>
      <c r="AW6" s="1" t="s">
        <v>484</v>
      </c>
      <c r="AX6" s="63" t="s">
        <v>468</v>
      </c>
      <c r="AY6" s="86"/>
    </row>
    <row r="7" spans="1:52" s="29" customFormat="1">
      <c r="A7" s="30"/>
      <c r="B7" s="30" t="s">
        <v>329</v>
      </c>
      <c r="C7" s="98" t="s">
        <v>507</v>
      </c>
      <c r="D7" s="98">
        <f>SUM(J7:M7)</f>
        <v>8</v>
      </c>
      <c r="E7" s="98">
        <f>+SUM(O7:AG7)</f>
        <v>11</v>
      </c>
      <c r="F7" s="98">
        <f>SUM(AH7:AL7)</f>
        <v>5</v>
      </c>
      <c r="G7" s="98">
        <v>2</v>
      </c>
      <c r="H7" s="98">
        <v>1</v>
      </c>
      <c r="I7" s="79"/>
      <c r="J7" s="51">
        <v>2</v>
      </c>
      <c r="K7" s="51">
        <v>2</v>
      </c>
      <c r="L7" s="51">
        <v>2</v>
      </c>
      <c r="M7" s="51">
        <v>2</v>
      </c>
      <c r="N7" s="51"/>
      <c r="O7" s="51">
        <v>2</v>
      </c>
      <c r="P7" s="51">
        <v>2</v>
      </c>
      <c r="Q7" s="51">
        <v>0</v>
      </c>
      <c r="R7" s="51">
        <v>1</v>
      </c>
      <c r="S7" s="51">
        <v>0</v>
      </c>
      <c r="T7" s="51">
        <v>0</v>
      </c>
      <c r="U7" s="51">
        <v>0.5</v>
      </c>
      <c r="V7" s="51">
        <v>1</v>
      </c>
      <c r="W7" s="51">
        <v>0</v>
      </c>
      <c r="X7" s="51">
        <v>0.5</v>
      </c>
      <c r="Y7" s="51">
        <v>0.5</v>
      </c>
      <c r="Z7" s="51">
        <v>0</v>
      </c>
      <c r="AA7" s="51">
        <v>0.5</v>
      </c>
      <c r="AB7" s="51">
        <v>0</v>
      </c>
      <c r="AC7" s="51">
        <v>1</v>
      </c>
      <c r="AD7" s="51">
        <v>1</v>
      </c>
      <c r="AE7" s="51">
        <v>1</v>
      </c>
      <c r="AF7" s="51">
        <v>0</v>
      </c>
      <c r="AG7" s="51">
        <v>0</v>
      </c>
      <c r="AH7" s="51">
        <v>1</v>
      </c>
      <c r="AI7" s="51">
        <v>1</v>
      </c>
      <c r="AJ7" s="51">
        <v>1</v>
      </c>
      <c r="AK7" s="51">
        <v>1</v>
      </c>
      <c r="AL7" s="51">
        <v>1</v>
      </c>
      <c r="AM7" s="75"/>
      <c r="AN7" s="98">
        <v>0.25</v>
      </c>
      <c r="AO7" s="98">
        <v>0.5</v>
      </c>
      <c r="AP7" s="167">
        <v>0.5</v>
      </c>
      <c r="AQ7" s="167">
        <v>0.5</v>
      </c>
      <c r="AR7" s="167">
        <v>0.5</v>
      </c>
      <c r="AS7" s="167">
        <v>0.25</v>
      </c>
      <c r="AT7" s="98">
        <f ca="1">SUM(PT!E7)</f>
        <v>2</v>
      </c>
      <c r="AU7" s="98">
        <f ca="1">SUM(FC!F7)</f>
        <v>2</v>
      </c>
      <c r="AV7" s="98">
        <v>0</v>
      </c>
      <c r="AW7" s="98">
        <f ca="1">SUM(FS!F7)</f>
        <v>2</v>
      </c>
      <c r="AX7" s="137">
        <f ca="1">SUM(IT!F7)</f>
        <v>0.25</v>
      </c>
      <c r="AY7" s="138"/>
      <c r="AZ7" s="64">
        <f>SUM(C7:H7)+SUM(AN7:AX7)</f>
        <v>35.75</v>
      </c>
    </row>
    <row r="8" spans="1:52">
      <c r="I8" s="74"/>
      <c r="AC8" s="28" t="s">
        <v>828</v>
      </c>
      <c r="AM8" s="74"/>
      <c r="AT8" s="23">
        <f ca="1">SUM(PT!E8)</f>
        <v>25</v>
      </c>
      <c r="AY8" s="74"/>
    </row>
    <row r="9" spans="1:52">
      <c r="C9" s="28" t="s">
        <v>175</v>
      </c>
      <c r="D9" s="28" t="s">
        <v>176</v>
      </c>
      <c r="E9" s="28" t="s">
        <v>177</v>
      </c>
      <c r="F9" s="28" t="s">
        <v>178</v>
      </c>
      <c r="G9" s="28" t="s">
        <v>419</v>
      </c>
      <c r="H9" s="28" t="s">
        <v>179</v>
      </c>
      <c r="I9" s="74"/>
      <c r="J9" s="28" t="s">
        <v>827</v>
      </c>
      <c r="O9" s="28" t="s">
        <v>335</v>
      </c>
      <c r="AC9" s="28" t="s">
        <v>364</v>
      </c>
      <c r="AM9" s="74"/>
      <c r="AN9" s="63" t="s">
        <v>180</v>
      </c>
      <c r="AO9" s="31" t="s">
        <v>443</v>
      </c>
      <c r="AP9" s="63" t="s">
        <v>181</v>
      </c>
      <c r="AQ9" s="63" t="s">
        <v>182</v>
      </c>
      <c r="AR9" s="63" t="s">
        <v>183</v>
      </c>
      <c r="AS9" s="1" t="s">
        <v>494</v>
      </c>
      <c r="AT9" s="63" t="s">
        <v>192</v>
      </c>
      <c r="AU9" s="63" t="s">
        <v>189</v>
      </c>
      <c r="AV9" s="1" t="s">
        <v>185</v>
      </c>
      <c r="AW9" s="63" t="s">
        <v>191</v>
      </c>
      <c r="AX9" s="63" t="s">
        <v>518</v>
      </c>
      <c r="AY9" s="86"/>
    </row>
    <row r="10" spans="1:52" s="45" customFormat="1">
      <c r="A10" s="44"/>
      <c r="B10" s="44" t="s">
        <v>174</v>
      </c>
      <c r="C10" s="45">
        <v>1000</v>
      </c>
      <c r="D10" s="45">
        <v>1105</v>
      </c>
      <c r="E10" s="45">
        <v>1110</v>
      </c>
      <c r="F10" s="45">
        <v>1111</v>
      </c>
      <c r="G10" s="45">
        <v>2410</v>
      </c>
      <c r="H10" s="45">
        <v>2420</v>
      </c>
      <c r="I10" s="76"/>
      <c r="J10" s="45" t="s">
        <v>331</v>
      </c>
      <c r="K10" s="45" t="s">
        <v>332</v>
      </c>
      <c r="L10" s="45" t="s">
        <v>506</v>
      </c>
      <c r="M10" s="45" t="s">
        <v>334</v>
      </c>
      <c r="O10" s="45" t="s">
        <v>336</v>
      </c>
      <c r="P10" s="45" t="s">
        <v>337</v>
      </c>
      <c r="Q10" s="45" t="s">
        <v>338</v>
      </c>
      <c r="R10" s="45" t="s">
        <v>340</v>
      </c>
      <c r="S10" s="45" t="s">
        <v>341</v>
      </c>
      <c r="T10" s="45" t="s">
        <v>342</v>
      </c>
      <c r="U10" s="45" t="s">
        <v>345</v>
      </c>
      <c r="V10" s="45" t="s">
        <v>344</v>
      </c>
      <c r="W10" s="45" t="s">
        <v>347</v>
      </c>
      <c r="X10" s="45" t="s">
        <v>349</v>
      </c>
      <c r="Y10" s="45" t="s">
        <v>350</v>
      </c>
      <c r="Z10" s="45" t="s">
        <v>354</v>
      </c>
      <c r="AA10" s="45" t="s">
        <v>355</v>
      </c>
      <c r="AB10" s="45" t="s">
        <v>358</v>
      </c>
      <c r="AC10" s="45" t="s">
        <v>365</v>
      </c>
      <c r="AD10" s="45" t="s">
        <v>496</v>
      </c>
      <c r="AE10" s="45" t="s">
        <v>367</v>
      </c>
      <c r="AF10" s="45" t="s">
        <v>417</v>
      </c>
      <c r="AG10" s="46" t="s">
        <v>372</v>
      </c>
      <c r="AH10" s="45" t="s">
        <v>479</v>
      </c>
      <c r="AI10" s="45" t="s">
        <v>480</v>
      </c>
      <c r="AJ10" s="45" t="s">
        <v>481</v>
      </c>
      <c r="AK10" s="45" t="s">
        <v>482</v>
      </c>
      <c r="AL10" s="45" t="s">
        <v>510</v>
      </c>
      <c r="AM10" s="76"/>
      <c r="AN10" s="7" t="s">
        <v>412</v>
      </c>
      <c r="AO10" s="45" t="s">
        <v>444</v>
      </c>
      <c r="AP10" s="7">
        <v>2122</v>
      </c>
      <c r="AQ10" s="7">
        <v>2134</v>
      </c>
      <c r="AR10" s="7">
        <v>2252</v>
      </c>
      <c r="AS10" s="7"/>
      <c r="AT10" s="7">
        <v>3200</v>
      </c>
      <c r="AU10" s="7">
        <v>2620</v>
      </c>
      <c r="AV10" s="7">
        <v>2500</v>
      </c>
      <c r="AW10" s="7">
        <v>3100</v>
      </c>
      <c r="AX10" s="7">
        <v>2840</v>
      </c>
      <c r="AY10" s="76"/>
      <c r="AZ10" s="58"/>
    </row>
    <row r="11" spans="1:52">
      <c r="A11" s="33" t="s">
        <v>271</v>
      </c>
      <c r="I11" s="74"/>
      <c r="AM11" s="74"/>
      <c r="AN11" s="39"/>
      <c r="AO11" s="54"/>
      <c r="AP11" s="39"/>
      <c r="AQ11" s="39"/>
      <c r="AR11" s="39"/>
      <c r="AT11" s="39"/>
      <c r="AU11" s="39"/>
      <c r="AW11" s="39"/>
      <c r="AX11" s="39"/>
      <c r="AY11" s="78"/>
    </row>
    <row r="12" spans="1:52">
      <c r="A12" s="33" t="s">
        <v>272</v>
      </c>
      <c r="C12" s="54"/>
      <c r="D12" s="54"/>
      <c r="E12" s="54"/>
      <c r="F12" s="54"/>
      <c r="G12" s="54"/>
      <c r="H12" s="54"/>
      <c r="I12" s="78"/>
      <c r="AM12" s="74"/>
      <c r="AN12" s="39"/>
      <c r="AO12" s="54"/>
      <c r="AP12" s="39"/>
      <c r="AQ12" s="39"/>
      <c r="AR12" s="39"/>
      <c r="AT12" s="39"/>
      <c r="AU12" s="39"/>
      <c r="AW12" s="39"/>
      <c r="AX12" s="39"/>
      <c r="AY12" s="78"/>
    </row>
    <row r="13" spans="1:52">
      <c r="A13" s="33" t="s">
        <v>171</v>
      </c>
      <c r="B13" s="33" t="s">
        <v>273</v>
      </c>
      <c r="C13" s="54">
        <v>75000</v>
      </c>
      <c r="D13" s="54">
        <f>SUM(J13:M13)</f>
        <v>0</v>
      </c>
      <c r="E13" s="54">
        <f>SUM(O13:AG13)</f>
        <v>0</v>
      </c>
      <c r="F13" s="54">
        <f>SUM(AH13:AL13)</f>
        <v>0</v>
      </c>
      <c r="G13" s="54"/>
      <c r="H13" s="54"/>
      <c r="I13" s="78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74"/>
      <c r="AN13" s="61">
        <f ca="1">SUM('AC-SVC'!C13)</f>
        <v>0</v>
      </c>
      <c r="AO13" s="61">
        <f ca="1">SUM('AC-SVC'!D13)</f>
        <v>0</v>
      </c>
      <c r="AP13" s="61">
        <f ca="1">SUM('AC-SVC'!E13)</f>
        <v>0</v>
      </c>
      <c r="AQ13" s="61">
        <f ca="1">SUM('AC-SVC'!F13)</f>
        <v>0</v>
      </c>
      <c r="AR13" s="61">
        <f ca="1">SUM('AC-SVC'!G13)</f>
        <v>0</v>
      </c>
      <c r="AS13" s="61">
        <f ca="1">SUM('AC-SVC'!H13)</f>
        <v>0</v>
      </c>
      <c r="AT13" s="61">
        <f ca="1">SUM(PT!E13)</f>
        <v>0</v>
      </c>
      <c r="AU13" s="39">
        <f ca="1">SUM(FC!F13)</f>
        <v>0</v>
      </c>
      <c r="AV13" s="61">
        <f ca="1">SUM(FN!H13)</f>
        <v>0</v>
      </c>
      <c r="AW13" s="39">
        <f ca="1">SUM(FS!F13)</f>
        <v>0</v>
      </c>
      <c r="AX13" s="61">
        <f ca="1">SUM(IT!F13)</f>
        <v>0</v>
      </c>
      <c r="AY13" s="87"/>
      <c r="AZ13" s="67">
        <f t="shared" ref="AZ13:AZ37" si="0">SUM(C13:H13)+SUM(AN13:AX13)</f>
        <v>75000</v>
      </c>
    </row>
    <row r="14" spans="1:52">
      <c r="A14" s="33" t="s">
        <v>172</v>
      </c>
      <c r="B14" s="33" t="s">
        <v>274</v>
      </c>
      <c r="C14" s="54">
        <f ca="1">150*SUM!B7</f>
        <v>46350</v>
      </c>
      <c r="D14" s="54">
        <f t="shared" ref="D14:D37" si="1">SUM(J14:M14)</f>
        <v>0</v>
      </c>
      <c r="E14" s="71">
        <f t="shared" ref="E14:E37" si="2">SUM(O14:AG14)</f>
        <v>0</v>
      </c>
      <c r="F14" s="54">
        <f t="shared" ref="F14:F37" si="3">SUM(AH14:AL14)</f>
        <v>0</v>
      </c>
      <c r="G14" s="54"/>
      <c r="H14" s="54"/>
      <c r="I14" s="7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74"/>
      <c r="AN14" s="61">
        <f ca="1">SUM('AC-SVC'!C14)</f>
        <v>0</v>
      </c>
      <c r="AO14" s="61">
        <f ca="1">SUM('AC-SVC'!D14)</f>
        <v>0</v>
      </c>
      <c r="AP14" s="61">
        <f ca="1">SUM('AC-SVC'!E14)</f>
        <v>0</v>
      </c>
      <c r="AQ14" s="61">
        <f ca="1">SUM('AC-SVC'!F14)</f>
        <v>0</v>
      </c>
      <c r="AR14" s="61">
        <f ca="1">SUM('AC-SVC'!G14)</f>
        <v>0</v>
      </c>
      <c r="AS14" s="61">
        <f ca="1">SUM('AC-SVC'!H14)</f>
        <v>0</v>
      </c>
      <c r="AT14" s="61">
        <f ca="1">SUM(PT!E14)</f>
        <v>0</v>
      </c>
      <c r="AU14" s="39">
        <f ca="1">SUM(FC!F14)</f>
        <v>0</v>
      </c>
      <c r="AV14" s="61">
        <f ca="1">SUM(FN!H14)</f>
        <v>0</v>
      </c>
      <c r="AW14" s="39">
        <f ca="1">SUM(FS!F14)</f>
        <v>0</v>
      </c>
      <c r="AX14" s="61">
        <f ca="1">SUM(IT!F14)</f>
        <v>0</v>
      </c>
      <c r="AY14" s="87"/>
      <c r="AZ14" s="67">
        <f t="shared" si="0"/>
        <v>46350</v>
      </c>
    </row>
    <row r="15" spans="1:52">
      <c r="A15" s="33" t="s">
        <v>173</v>
      </c>
      <c r="B15" s="33" t="s">
        <v>275</v>
      </c>
      <c r="C15" s="54"/>
      <c r="D15" s="54">
        <f t="shared" si="1"/>
        <v>0</v>
      </c>
      <c r="E15" s="71">
        <f t="shared" si="2"/>
        <v>0</v>
      </c>
      <c r="F15" s="54">
        <f t="shared" si="3"/>
        <v>0</v>
      </c>
      <c r="G15" s="54"/>
      <c r="H15" s="54"/>
      <c r="I15" s="78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74"/>
      <c r="AN15" s="61">
        <f ca="1">SUM('AC-SVC'!C15)</f>
        <v>0</v>
      </c>
      <c r="AO15" s="61">
        <f ca="1">SUM('AC-SVC'!D15)</f>
        <v>0</v>
      </c>
      <c r="AP15" s="61">
        <f ca="1">SUM('AC-SVC'!E15)</f>
        <v>0</v>
      </c>
      <c r="AQ15" s="61">
        <f ca="1">SUM('AC-SVC'!F15)</f>
        <v>0</v>
      </c>
      <c r="AR15" s="61">
        <f ca="1">SUM('AC-SVC'!G15)</f>
        <v>0</v>
      </c>
      <c r="AS15" s="61">
        <f ca="1">SUM('AC-SVC'!H15)</f>
        <v>0</v>
      </c>
      <c r="AT15" s="61">
        <f ca="1">SUM(PT!E15)</f>
        <v>0</v>
      </c>
      <c r="AU15" s="39">
        <f ca="1">SUM(FC!F15)</f>
        <v>0</v>
      </c>
      <c r="AV15" s="61">
        <f ca="1">SUM(FN!H15)</f>
        <v>0</v>
      </c>
      <c r="AW15" s="39">
        <f ca="1">SUM(FS!F15)</f>
        <v>0</v>
      </c>
      <c r="AX15" s="61">
        <f ca="1">SUM(IT!F15)</f>
        <v>0</v>
      </c>
      <c r="AY15" s="87"/>
      <c r="AZ15" s="67">
        <f t="shared" si="0"/>
        <v>0</v>
      </c>
    </row>
    <row r="16" spans="1:52">
      <c r="A16" s="33" t="s">
        <v>194</v>
      </c>
      <c r="B16" s="33" t="s">
        <v>276</v>
      </c>
      <c r="C16" s="54"/>
      <c r="D16" s="54">
        <f t="shared" si="1"/>
        <v>0</v>
      </c>
      <c r="E16" s="71">
        <f t="shared" si="2"/>
        <v>0</v>
      </c>
      <c r="F16" s="54">
        <f t="shared" si="3"/>
        <v>0</v>
      </c>
      <c r="G16" s="54"/>
      <c r="H16" s="54"/>
      <c r="I16" s="7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74"/>
      <c r="AN16" s="61">
        <f ca="1">SUM('AC-SVC'!C16)</f>
        <v>0</v>
      </c>
      <c r="AO16" s="61">
        <f ca="1">SUM('AC-SVC'!D16)</f>
        <v>0</v>
      </c>
      <c r="AP16" s="61">
        <f ca="1">SUM('AC-SVC'!E16)</f>
        <v>0</v>
      </c>
      <c r="AQ16" s="61">
        <f ca="1">SUM('AC-SVC'!F16)</f>
        <v>0</v>
      </c>
      <c r="AR16" s="61">
        <f ca="1">SUM('AC-SVC'!G16)</f>
        <v>0</v>
      </c>
      <c r="AS16" s="61">
        <f ca="1">SUM('AC-SVC'!H16)</f>
        <v>0</v>
      </c>
      <c r="AT16" s="61">
        <f ca="1">SUM(PT!E16)</f>
        <v>0</v>
      </c>
      <c r="AU16" s="39">
        <f ca="1">SUM(FC!F16)</f>
        <v>0</v>
      </c>
      <c r="AV16" s="61">
        <f ca="1">SUM(FN!H16)</f>
        <v>0</v>
      </c>
      <c r="AW16" s="39">
        <f ca="1">SUM(FS!F16)</f>
        <v>49440</v>
      </c>
      <c r="AX16" s="61">
        <f ca="1">SUM(IT!F16)</f>
        <v>0</v>
      </c>
      <c r="AY16" s="87"/>
      <c r="AZ16" s="67">
        <f t="shared" si="0"/>
        <v>49440</v>
      </c>
    </row>
    <row r="17" spans="1:52">
      <c r="A17" s="33" t="s">
        <v>195</v>
      </c>
      <c r="B17" s="33" t="s">
        <v>277</v>
      </c>
      <c r="C17" s="54"/>
      <c r="D17" s="54">
        <f t="shared" si="1"/>
        <v>0</v>
      </c>
      <c r="E17" s="71">
        <f t="shared" si="2"/>
        <v>0</v>
      </c>
      <c r="F17" s="54">
        <f t="shared" si="3"/>
        <v>0</v>
      </c>
      <c r="G17" s="54"/>
      <c r="H17" s="54"/>
      <c r="I17" s="7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74"/>
      <c r="AN17" s="61">
        <f ca="1">SUM('AC-SVC'!C17)</f>
        <v>0</v>
      </c>
      <c r="AO17" s="61">
        <f ca="1">SUM('AC-SVC'!D17)</f>
        <v>0</v>
      </c>
      <c r="AP17" s="61">
        <f ca="1">SUM('AC-SVC'!E17)</f>
        <v>0</v>
      </c>
      <c r="AQ17" s="61">
        <f ca="1">SUM('AC-SVC'!F17)</f>
        <v>0</v>
      </c>
      <c r="AR17" s="61">
        <f ca="1">SUM('AC-SVC'!G17)</f>
        <v>0</v>
      </c>
      <c r="AS17" s="61">
        <f ca="1">SUM('AC-SVC'!H17)</f>
        <v>0</v>
      </c>
      <c r="AT17" s="61">
        <f ca="1">SUM(PT!E17)</f>
        <v>33750</v>
      </c>
      <c r="AU17" s="39">
        <f ca="1">SUM(FC!F17)</f>
        <v>0</v>
      </c>
      <c r="AV17" s="61">
        <f ca="1">SUM(FN!H17)</f>
        <v>0</v>
      </c>
      <c r="AW17" s="39">
        <f ca="1">SUM(FS!F17)</f>
        <v>0</v>
      </c>
      <c r="AX17" s="61">
        <f ca="1">SUM(IT!F17)</f>
        <v>0</v>
      </c>
      <c r="AY17" s="87"/>
      <c r="AZ17" s="67">
        <f t="shared" si="0"/>
        <v>33750</v>
      </c>
    </row>
    <row r="18" spans="1:52">
      <c r="A18" s="33" t="s">
        <v>196</v>
      </c>
      <c r="B18" s="33" t="s">
        <v>278</v>
      </c>
      <c r="C18" s="54"/>
      <c r="D18" s="54">
        <f t="shared" si="1"/>
        <v>0</v>
      </c>
      <c r="E18" s="71">
        <f t="shared" si="2"/>
        <v>0</v>
      </c>
      <c r="F18" s="54">
        <f t="shared" si="3"/>
        <v>0</v>
      </c>
      <c r="G18" s="54"/>
      <c r="H18" s="54"/>
      <c r="I18" s="78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74"/>
      <c r="AN18" s="61">
        <f ca="1">SUM('AC-SVC'!C18)</f>
        <v>0</v>
      </c>
      <c r="AO18" s="61">
        <f ca="1">SUM('AC-SVC'!D18)</f>
        <v>0</v>
      </c>
      <c r="AP18" s="61">
        <f ca="1">SUM('AC-SVC'!E18)</f>
        <v>0</v>
      </c>
      <c r="AQ18" s="61">
        <f ca="1">SUM('AC-SVC'!F18)</f>
        <v>0</v>
      </c>
      <c r="AR18" s="61">
        <f ca="1">SUM('AC-SVC'!G18)</f>
        <v>0</v>
      </c>
      <c r="AS18" s="61">
        <f ca="1">SUM('AC-SVC'!H18)</f>
        <v>0</v>
      </c>
      <c r="AT18" s="61">
        <f ca="1">SUM(PT!E18)</f>
        <v>0</v>
      </c>
      <c r="AU18" s="39">
        <f ca="1">SUM(FC!F18)</f>
        <v>0</v>
      </c>
      <c r="AV18" s="61">
        <f ca="1">SUM(FN!H18)</f>
        <v>0</v>
      </c>
      <c r="AW18" s="39">
        <f ca="1">SUM(FS!F18)</f>
        <v>0</v>
      </c>
      <c r="AX18" s="61">
        <f ca="1">SUM(IT!F18)</f>
        <v>0</v>
      </c>
      <c r="AY18" s="87"/>
      <c r="AZ18" s="67">
        <f t="shared" si="0"/>
        <v>0</v>
      </c>
    </row>
    <row r="19" spans="1:52">
      <c r="A19" s="33" t="s">
        <v>197</v>
      </c>
      <c r="B19" s="33" t="s">
        <v>279</v>
      </c>
      <c r="C19" s="54"/>
      <c r="D19" s="54">
        <f t="shared" si="1"/>
        <v>0</v>
      </c>
      <c r="E19" s="71">
        <f t="shared" si="2"/>
        <v>0</v>
      </c>
      <c r="F19" s="54">
        <f t="shared" si="3"/>
        <v>0</v>
      </c>
      <c r="G19" s="54"/>
      <c r="H19" s="54"/>
      <c r="I19" s="78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74"/>
      <c r="AN19" s="61">
        <f ca="1">SUM('AC-SVC'!C19)</f>
        <v>0</v>
      </c>
      <c r="AO19" s="61">
        <f ca="1">SUM('AC-SVC'!D19)</f>
        <v>0</v>
      </c>
      <c r="AP19" s="61">
        <f ca="1">SUM('AC-SVC'!E19)</f>
        <v>0</v>
      </c>
      <c r="AQ19" s="61">
        <f ca="1">SUM('AC-SVC'!F19)</f>
        <v>0</v>
      </c>
      <c r="AR19" s="61">
        <f ca="1">SUM('AC-SVC'!G19)</f>
        <v>0</v>
      </c>
      <c r="AS19" s="61">
        <f ca="1">SUM('AC-SVC'!H19)</f>
        <v>0</v>
      </c>
      <c r="AT19" s="61">
        <f ca="1">SUM(PT!E19)</f>
        <v>0</v>
      </c>
      <c r="AU19" s="39">
        <f ca="1">SUM(FC!F19)</f>
        <v>0</v>
      </c>
      <c r="AV19" s="61">
        <f ca="1">SUM(FN!H19)</f>
        <v>0</v>
      </c>
      <c r="AW19" s="39">
        <f ca="1">SUM(FS!F19)</f>
        <v>0</v>
      </c>
      <c r="AX19" s="61">
        <f ca="1">SUM(IT!F19)</f>
        <v>0</v>
      </c>
      <c r="AY19" s="87"/>
      <c r="AZ19" s="67">
        <f t="shared" si="0"/>
        <v>0</v>
      </c>
    </row>
    <row r="20" spans="1:52">
      <c r="A20" s="33" t="s">
        <v>198</v>
      </c>
      <c r="B20" s="33" t="s">
        <v>280</v>
      </c>
      <c r="C20" s="54"/>
      <c r="D20" s="54">
        <f t="shared" si="1"/>
        <v>0</v>
      </c>
      <c r="E20" s="71">
        <f t="shared" si="2"/>
        <v>0</v>
      </c>
      <c r="F20" s="54">
        <f t="shared" si="3"/>
        <v>0</v>
      </c>
      <c r="G20" s="54"/>
      <c r="H20" s="54"/>
      <c r="I20" s="78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74"/>
      <c r="AN20" s="61">
        <f ca="1">SUM('AC-SVC'!C20)</f>
        <v>0</v>
      </c>
      <c r="AO20" s="61">
        <f ca="1">SUM('AC-SVC'!D20)</f>
        <v>0</v>
      </c>
      <c r="AP20" s="61">
        <f ca="1">SUM('AC-SVC'!E20)</f>
        <v>0</v>
      </c>
      <c r="AQ20" s="61">
        <f ca="1">SUM('AC-SVC'!F20)</f>
        <v>0</v>
      </c>
      <c r="AR20" s="61">
        <f ca="1">SUM('AC-SVC'!G20)</f>
        <v>0</v>
      </c>
      <c r="AS20" s="61">
        <f ca="1">SUM('AC-SVC'!H20)</f>
        <v>0</v>
      </c>
      <c r="AT20" s="61">
        <f ca="1">SUM(PT!E20)</f>
        <v>0</v>
      </c>
      <c r="AU20" s="39">
        <f ca="1">SUM(FC!F20)</f>
        <v>0</v>
      </c>
      <c r="AV20" s="61">
        <f ca="1">SUM(FN!H20)</f>
        <v>0</v>
      </c>
      <c r="AW20" s="39">
        <f ca="1">SUM(FS!F20)</f>
        <v>0</v>
      </c>
      <c r="AX20" s="61">
        <f ca="1">SUM(IT!F20)</f>
        <v>0</v>
      </c>
      <c r="AY20" s="87"/>
      <c r="AZ20" s="67">
        <f t="shared" si="0"/>
        <v>0</v>
      </c>
    </row>
    <row r="21" spans="1:52">
      <c r="A21" s="33" t="s">
        <v>199</v>
      </c>
      <c r="B21" s="33" t="s">
        <v>281</v>
      </c>
      <c r="C21" s="73">
        <f ca="1">SUM(SUM!B7*190)</f>
        <v>58710</v>
      </c>
      <c r="D21" s="54">
        <f t="shared" si="1"/>
        <v>0</v>
      </c>
      <c r="E21" s="71">
        <f t="shared" si="2"/>
        <v>0</v>
      </c>
      <c r="F21" s="54">
        <f t="shared" si="3"/>
        <v>0</v>
      </c>
      <c r="G21" s="54"/>
      <c r="H21" s="54"/>
      <c r="I21" s="78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74"/>
      <c r="AN21" s="61">
        <f ca="1">SUM('AC-SVC'!C21)</f>
        <v>0</v>
      </c>
      <c r="AO21" s="61">
        <f ca="1">SUM('AC-SVC'!D21)</f>
        <v>0</v>
      </c>
      <c r="AP21" s="61">
        <f ca="1">SUM('AC-SVC'!E21)</f>
        <v>0</v>
      </c>
      <c r="AQ21" s="61">
        <f ca="1">SUM('AC-SVC'!F21)</f>
        <v>0</v>
      </c>
      <c r="AR21" s="61">
        <f ca="1">SUM('AC-SVC'!G21)</f>
        <v>0</v>
      </c>
      <c r="AS21" s="61">
        <f ca="1">SUM('AC-SVC'!H21)</f>
        <v>0</v>
      </c>
      <c r="AT21" s="61">
        <f ca="1">SUM(PT!E21)</f>
        <v>0</v>
      </c>
      <c r="AU21" s="39">
        <f ca="1">SUM(FC!F21)</f>
        <v>0</v>
      </c>
      <c r="AV21" s="61">
        <f ca="1">SUM(FN!H21)</f>
        <v>0</v>
      </c>
      <c r="AW21" s="39">
        <f ca="1">SUM(FS!F21)</f>
        <v>0</v>
      </c>
      <c r="AX21" s="61">
        <f ca="1">SUM(IT!F21)</f>
        <v>0</v>
      </c>
      <c r="AY21" s="87"/>
      <c r="AZ21" s="67">
        <f t="shared" si="0"/>
        <v>58710</v>
      </c>
    </row>
    <row r="22" spans="1:52">
      <c r="A22" s="33" t="s">
        <v>200</v>
      </c>
      <c r="B22" s="33" t="s">
        <v>282</v>
      </c>
      <c r="C22" s="54"/>
      <c r="D22" s="54">
        <f t="shared" si="1"/>
        <v>0</v>
      </c>
      <c r="E22" s="71">
        <f t="shared" si="2"/>
        <v>0</v>
      </c>
      <c r="F22" s="54">
        <f t="shared" si="3"/>
        <v>0</v>
      </c>
      <c r="G22" s="54"/>
      <c r="H22" s="54"/>
      <c r="I22" s="78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74"/>
      <c r="AN22" s="61">
        <f ca="1">SUM('AC-SVC'!C22)</f>
        <v>0</v>
      </c>
      <c r="AO22" s="61">
        <f ca="1">SUM('AC-SVC'!D22)</f>
        <v>0</v>
      </c>
      <c r="AP22" s="61">
        <f ca="1">SUM('AC-SVC'!E22)</f>
        <v>0</v>
      </c>
      <c r="AQ22" s="61">
        <f ca="1">SUM('AC-SVC'!F22)</f>
        <v>0</v>
      </c>
      <c r="AR22" s="61">
        <f ca="1">SUM('AC-SVC'!G22)</f>
        <v>0</v>
      </c>
      <c r="AS22" s="61">
        <f ca="1">SUM('AC-SVC'!H22)</f>
        <v>0</v>
      </c>
      <c r="AT22" s="61">
        <f ca="1">SUM(PT!E22)</f>
        <v>0</v>
      </c>
      <c r="AU22" s="39">
        <f ca="1">SUM(FC!F22)</f>
        <v>0</v>
      </c>
      <c r="AV22" s="61">
        <f ca="1">SUM(FN!H22)</f>
        <v>0</v>
      </c>
      <c r="AW22" s="39">
        <f ca="1">SUM(FS!F22)</f>
        <v>0</v>
      </c>
      <c r="AX22" s="61">
        <f ca="1">SUM(IT!F22)</f>
        <v>0</v>
      </c>
      <c r="AY22" s="87"/>
      <c r="AZ22" s="67">
        <f t="shared" si="0"/>
        <v>0</v>
      </c>
    </row>
    <row r="23" spans="1:52">
      <c r="A23" s="33" t="s">
        <v>201</v>
      </c>
      <c r="B23" s="33" t="s">
        <v>283</v>
      </c>
      <c r="C23" s="54"/>
      <c r="D23" s="54">
        <f t="shared" si="1"/>
        <v>0</v>
      </c>
      <c r="E23" s="71">
        <f t="shared" si="2"/>
        <v>0</v>
      </c>
      <c r="F23" s="54">
        <f t="shared" si="3"/>
        <v>0</v>
      </c>
      <c r="G23" s="54"/>
      <c r="H23" s="54"/>
      <c r="I23" s="78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74"/>
      <c r="AN23" s="61">
        <f ca="1">SUM('AC-SVC'!C23)</f>
        <v>0</v>
      </c>
      <c r="AO23" s="61">
        <f ca="1">SUM('AC-SVC'!D23)</f>
        <v>0</v>
      </c>
      <c r="AP23" s="61">
        <f ca="1">SUM('AC-SVC'!E23)</f>
        <v>0</v>
      </c>
      <c r="AQ23" s="61">
        <f ca="1">SUM('AC-SVC'!F23)</f>
        <v>0</v>
      </c>
      <c r="AR23" s="61">
        <f ca="1">SUM('AC-SVC'!G23)</f>
        <v>500</v>
      </c>
      <c r="AS23" s="61">
        <f ca="1">SUM('AC-SVC'!H23)</f>
        <v>0</v>
      </c>
      <c r="AT23" s="61">
        <f ca="1">SUM(PT!E23)</f>
        <v>0</v>
      </c>
      <c r="AU23" s="39">
        <f ca="1">SUM(FC!F23)</f>
        <v>0</v>
      </c>
      <c r="AV23" s="61">
        <f ca="1">SUM(FN!H23)</f>
        <v>0</v>
      </c>
      <c r="AW23" s="39">
        <f ca="1">SUM(FS!F23)</f>
        <v>0</v>
      </c>
      <c r="AX23" s="61">
        <f ca="1">SUM(IT!F23)</f>
        <v>0</v>
      </c>
      <c r="AY23" s="87"/>
      <c r="AZ23" s="67">
        <f t="shared" si="0"/>
        <v>500</v>
      </c>
    </row>
    <row r="24" spans="1:52">
      <c r="A24" s="33" t="s">
        <v>202</v>
      </c>
      <c r="B24" s="33" t="s">
        <v>284</v>
      </c>
      <c r="C24" s="54"/>
      <c r="D24" s="54">
        <f t="shared" si="1"/>
        <v>0</v>
      </c>
      <c r="E24" s="71">
        <f t="shared" si="2"/>
        <v>0</v>
      </c>
      <c r="F24" s="54">
        <f t="shared" si="3"/>
        <v>0</v>
      </c>
      <c r="G24" s="54"/>
      <c r="H24" s="54"/>
      <c r="I24" s="7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74"/>
      <c r="AN24" s="61">
        <f ca="1">SUM('AC-SVC'!C24)</f>
        <v>0</v>
      </c>
      <c r="AO24" s="61">
        <f ca="1">SUM('AC-SVC'!D24)</f>
        <v>0</v>
      </c>
      <c r="AP24" s="61">
        <f ca="1">SUM('AC-SVC'!E24)</f>
        <v>0</v>
      </c>
      <c r="AQ24" s="61">
        <f ca="1">SUM('AC-SVC'!F24)</f>
        <v>0</v>
      </c>
      <c r="AR24" s="61">
        <f ca="1">SUM('AC-SVC'!G24)</f>
        <v>0</v>
      </c>
      <c r="AS24" s="61">
        <f ca="1">SUM('AC-SVC'!H24)</f>
        <v>0</v>
      </c>
      <c r="AT24" s="61">
        <f ca="1">SUM(PT!E24)</f>
        <v>0</v>
      </c>
      <c r="AU24" s="39">
        <f ca="1">SUM(FC!F24)</f>
        <v>0</v>
      </c>
      <c r="AV24" s="61">
        <f ca="1">SUM(FN!H24)</f>
        <v>0</v>
      </c>
      <c r="AW24" s="39">
        <f ca="1">SUM(FS!F24)</f>
        <v>0</v>
      </c>
      <c r="AX24" s="61">
        <f ca="1">SUM(IT!F24)</f>
        <v>0</v>
      </c>
      <c r="AY24" s="87"/>
      <c r="AZ24" s="67">
        <f t="shared" si="0"/>
        <v>0</v>
      </c>
    </row>
    <row r="25" spans="1:52">
      <c r="A25" s="33" t="s">
        <v>203</v>
      </c>
      <c r="B25" s="33" t="s">
        <v>285</v>
      </c>
      <c r="C25" s="54"/>
      <c r="D25" s="54">
        <f t="shared" si="1"/>
        <v>0</v>
      </c>
      <c r="E25" s="71">
        <f t="shared" si="2"/>
        <v>0</v>
      </c>
      <c r="F25" s="54">
        <f t="shared" si="3"/>
        <v>0</v>
      </c>
      <c r="G25" s="54"/>
      <c r="H25" s="54"/>
      <c r="I25" s="78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74"/>
      <c r="AN25" s="61">
        <f ca="1">SUM('AC-SVC'!C25)</f>
        <v>0</v>
      </c>
      <c r="AO25" s="61">
        <f ca="1">SUM('AC-SVC'!D25)</f>
        <v>0</v>
      </c>
      <c r="AP25" s="61">
        <f ca="1">SUM('AC-SVC'!E25)</f>
        <v>0</v>
      </c>
      <c r="AQ25" s="61">
        <f ca="1">SUM('AC-SVC'!F25)</f>
        <v>0</v>
      </c>
      <c r="AR25" s="61">
        <f ca="1">SUM('AC-SVC'!G25)</f>
        <v>0</v>
      </c>
      <c r="AS25" s="61">
        <f ca="1">SUM('AC-SVC'!H25)</f>
        <v>0</v>
      </c>
      <c r="AT25" s="61">
        <f ca="1">SUM(PT!E25)</f>
        <v>0</v>
      </c>
      <c r="AU25" s="39">
        <f ca="1">SUM(FC!F25)</f>
        <v>0</v>
      </c>
      <c r="AV25" s="61">
        <f ca="1">SUM(FN!H25)</f>
        <v>0</v>
      </c>
      <c r="AW25" s="39">
        <f ca="1">SUM(FS!F25)</f>
        <v>0</v>
      </c>
      <c r="AX25" s="61">
        <f ca="1">SUM(IT!F25)</f>
        <v>0</v>
      </c>
      <c r="AY25" s="87"/>
      <c r="AZ25" s="67">
        <f t="shared" si="0"/>
        <v>0</v>
      </c>
    </row>
    <row r="26" spans="1:52">
      <c r="A26" s="33" t="s">
        <v>204</v>
      </c>
      <c r="B26" s="33" t="s">
        <v>286</v>
      </c>
      <c r="C26" s="54"/>
      <c r="D26" s="54">
        <f t="shared" si="1"/>
        <v>0</v>
      </c>
      <c r="E26" s="71">
        <f t="shared" si="2"/>
        <v>0</v>
      </c>
      <c r="F26" s="54">
        <f t="shared" si="3"/>
        <v>0</v>
      </c>
      <c r="G26" s="54"/>
      <c r="H26" s="54"/>
      <c r="I26" s="78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74"/>
      <c r="AN26" s="61">
        <f ca="1">SUM('AC-SVC'!C26)</f>
        <v>0</v>
      </c>
      <c r="AO26" s="61">
        <f ca="1">SUM('AC-SVC'!D26)</f>
        <v>0</v>
      </c>
      <c r="AP26" s="61">
        <f ca="1">SUM('AC-SVC'!E26)</f>
        <v>0</v>
      </c>
      <c r="AQ26" s="61">
        <f ca="1">SUM('AC-SVC'!F26)</f>
        <v>0</v>
      </c>
      <c r="AR26" s="61">
        <f ca="1">SUM('AC-SVC'!G26)</f>
        <v>0</v>
      </c>
      <c r="AS26" s="61">
        <f ca="1">SUM('AC-SVC'!H26)</f>
        <v>0</v>
      </c>
      <c r="AT26" s="61">
        <f ca="1">SUM(PT!E26)</f>
        <v>0</v>
      </c>
      <c r="AU26" s="39">
        <f ca="1">SUM(FC!F26)</f>
        <v>0</v>
      </c>
      <c r="AV26" s="61">
        <f ca="1">SUM(FN!H26)</f>
        <v>0</v>
      </c>
      <c r="AW26" s="39">
        <f ca="1">SUM(FS!F26)</f>
        <v>0</v>
      </c>
      <c r="AX26" s="61">
        <f ca="1">SUM(IT!F26)</f>
        <v>0</v>
      </c>
      <c r="AY26" s="87"/>
      <c r="AZ26" s="67">
        <f t="shared" si="0"/>
        <v>0</v>
      </c>
    </row>
    <row r="27" spans="1:52">
      <c r="A27" s="33" t="s">
        <v>205</v>
      </c>
      <c r="B27" s="33" t="s">
        <v>287</v>
      </c>
      <c r="C27" s="54"/>
      <c r="D27" s="54">
        <f t="shared" si="1"/>
        <v>0</v>
      </c>
      <c r="E27" s="71">
        <f t="shared" si="2"/>
        <v>0</v>
      </c>
      <c r="F27" s="54">
        <f t="shared" si="3"/>
        <v>0</v>
      </c>
      <c r="G27" s="54"/>
      <c r="H27" s="54"/>
      <c r="I27" s="78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74"/>
      <c r="AN27" s="61">
        <f ca="1">SUM('AC-SVC'!C27)</f>
        <v>0</v>
      </c>
      <c r="AO27" s="61">
        <f ca="1">SUM('AC-SVC'!D27)</f>
        <v>0</v>
      </c>
      <c r="AP27" s="61">
        <f ca="1">SUM('AC-SVC'!E27)</f>
        <v>0</v>
      </c>
      <c r="AQ27" s="61">
        <f ca="1">SUM('AC-SVC'!F27)</f>
        <v>0</v>
      </c>
      <c r="AR27" s="61">
        <f ca="1">SUM('AC-SVC'!G27)</f>
        <v>0</v>
      </c>
      <c r="AS27" s="61">
        <f ca="1">SUM('AC-SVC'!H27)</f>
        <v>0</v>
      </c>
      <c r="AT27" s="61">
        <f ca="1">SUM(PT!E27)</f>
        <v>0</v>
      </c>
      <c r="AU27" s="39">
        <f ca="1">SUM(FC!F27)</f>
        <v>0</v>
      </c>
      <c r="AV27" s="61">
        <f ca="1">SUM(FN!H27)</f>
        <v>0</v>
      </c>
      <c r="AW27" s="39">
        <f ca="1">SUM(FS!F27)</f>
        <v>0</v>
      </c>
      <c r="AX27" s="61">
        <f ca="1">SUM(IT!F27)</f>
        <v>0</v>
      </c>
      <c r="AY27" s="87"/>
      <c r="AZ27" s="67">
        <f t="shared" si="0"/>
        <v>0</v>
      </c>
    </row>
    <row r="28" spans="1:52">
      <c r="A28" s="33" t="s">
        <v>206</v>
      </c>
      <c r="B28" s="33" t="s">
        <v>288</v>
      </c>
      <c r="C28" s="54"/>
      <c r="D28" s="54">
        <f t="shared" si="1"/>
        <v>0</v>
      </c>
      <c r="E28" s="71">
        <f t="shared" si="2"/>
        <v>0</v>
      </c>
      <c r="F28" s="54">
        <f t="shared" si="3"/>
        <v>0</v>
      </c>
      <c r="G28" s="54"/>
      <c r="H28" s="54"/>
      <c r="I28" s="78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74"/>
      <c r="AN28" s="61">
        <f ca="1">SUM('AC-SVC'!C28)</f>
        <v>0</v>
      </c>
      <c r="AO28" s="61">
        <f ca="1">SUM('AC-SVC'!D28)</f>
        <v>0</v>
      </c>
      <c r="AP28" s="61">
        <f ca="1">SUM('AC-SVC'!E28)</f>
        <v>0</v>
      </c>
      <c r="AQ28" s="61">
        <f ca="1">SUM('AC-SVC'!F28)</f>
        <v>0</v>
      </c>
      <c r="AR28" s="61">
        <f ca="1">SUM('AC-SVC'!G28)</f>
        <v>0</v>
      </c>
      <c r="AS28" s="61">
        <f ca="1">SUM('AC-SVC'!H28)</f>
        <v>0</v>
      </c>
      <c r="AT28" s="61">
        <f ca="1">SUM(PT!E28)</f>
        <v>0</v>
      </c>
      <c r="AU28" s="39">
        <f ca="1">SUM(FC!F28)</f>
        <v>0</v>
      </c>
      <c r="AV28" s="61">
        <f ca="1">SUM(FN!H28)</f>
        <v>0</v>
      </c>
      <c r="AW28" s="39">
        <f ca="1">SUM(FS!F28)</f>
        <v>0</v>
      </c>
      <c r="AX28" s="61">
        <f ca="1">SUM(IT!F28)</f>
        <v>0</v>
      </c>
      <c r="AY28" s="87"/>
      <c r="AZ28" s="67">
        <f t="shared" si="0"/>
        <v>0</v>
      </c>
    </row>
    <row r="29" spans="1:52">
      <c r="A29" s="33" t="s">
        <v>207</v>
      </c>
      <c r="B29" s="33" t="s">
        <v>289</v>
      </c>
      <c r="C29" s="54"/>
      <c r="D29" s="54">
        <f t="shared" si="1"/>
        <v>0</v>
      </c>
      <c r="E29" s="71">
        <f t="shared" si="2"/>
        <v>0</v>
      </c>
      <c r="F29" s="54">
        <f t="shared" si="3"/>
        <v>0</v>
      </c>
      <c r="G29" s="54"/>
      <c r="H29" s="54"/>
      <c r="I29" s="78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74"/>
      <c r="AN29" s="61">
        <f ca="1">SUM('AC-SVC'!C29)</f>
        <v>0</v>
      </c>
      <c r="AO29" s="61">
        <f ca="1">SUM('AC-SVC'!D29)</f>
        <v>0</v>
      </c>
      <c r="AP29" s="61">
        <f ca="1">SUM('AC-SVC'!E29)</f>
        <v>0</v>
      </c>
      <c r="AQ29" s="61">
        <f ca="1">SUM('AC-SVC'!F29)</f>
        <v>0</v>
      </c>
      <c r="AR29" s="61">
        <f ca="1">SUM('AC-SVC'!G29)</f>
        <v>300</v>
      </c>
      <c r="AS29" s="61">
        <f ca="1">SUM('AC-SVC'!H29)</f>
        <v>0</v>
      </c>
      <c r="AT29" s="61">
        <f ca="1">SUM(PT!E29)</f>
        <v>0</v>
      </c>
      <c r="AU29" s="39">
        <f ca="1">SUM(FC!F29)</f>
        <v>0</v>
      </c>
      <c r="AV29" s="61">
        <f ca="1">SUM(FN!H29)</f>
        <v>0</v>
      </c>
      <c r="AW29" s="39">
        <f ca="1">SUM(FS!F29)</f>
        <v>0</v>
      </c>
      <c r="AX29" s="61">
        <f ca="1">SUM(IT!F29)</f>
        <v>0</v>
      </c>
      <c r="AY29" s="87"/>
      <c r="AZ29" s="67">
        <f t="shared" si="0"/>
        <v>300</v>
      </c>
    </row>
    <row r="30" spans="1:52">
      <c r="A30" s="33" t="s">
        <v>209</v>
      </c>
      <c r="B30" s="33" t="s">
        <v>290</v>
      </c>
      <c r="C30" s="54"/>
      <c r="D30" s="54">
        <f t="shared" si="1"/>
        <v>0</v>
      </c>
      <c r="E30" s="71">
        <f t="shared" si="2"/>
        <v>0</v>
      </c>
      <c r="F30" s="54">
        <f t="shared" si="3"/>
        <v>0</v>
      </c>
      <c r="G30" s="54"/>
      <c r="H30" s="54"/>
      <c r="I30" s="7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4"/>
      <c r="AN30" s="61">
        <f ca="1">SUM('AC-SVC'!C30)</f>
        <v>0</v>
      </c>
      <c r="AO30" s="61">
        <f ca="1">SUM('AC-SVC'!D30)</f>
        <v>0</v>
      </c>
      <c r="AP30" s="61">
        <f ca="1">SUM('AC-SVC'!E30)</f>
        <v>0</v>
      </c>
      <c r="AQ30" s="61">
        <f ca="1">SUM('AC-SVC'!F30)</f>
        <v>0</v>
      </c>
      <c r="AR30" s="61">
        <f ca="1">SUM('AC-SVC'!G30)</f>
        <v>0</v>
      </c>
      <c r="AS30" s="61">
        <f ca="1">SUM('AC-SVC'!H30)</f>
        <v>0</v>
      </c>
      <c r="AT30" s="61">
        <f ca="1">SUM(PT!E30)</f>
        <v>0</v>
      </c>
      <c r="AU30" s="39">
        <f ca="1">SUM(FC!F30)</f>
        <v>0</v>
      </c>
      <c r="AV30" s="61">
        <f ca="1">SUM(FN!H30)</f>
        <v>0</v>
      </c>
      <c r="AW30" s="39">
        <f ca="1">SUM(FS!F30)</f>
        <v>0</v>
      </c>
      <c r="AX30" s="61">
        <f ca="1">SUM(IT!F30)</f>
        <v>0</v>
      </c>
      <c r="AY30" s="87"/>
      <c r="AZ30" s="67">
        <f t="shared" si="0"/>
        <v>0</v>
      </c>
    </row>
    <row r="31" spans="1:52">
      <c r="A31" s="33" t="s">
        <v>208</v>
      </c>
      <c r="B31" s="33" t="s">
        <v>291</v>
      </c>
      <c r="C31" s="54"/>
      <c r="D31" s="54">
        <f t="shared" si="1"/>
        <v>0</v>
      </c>
      <c r="E31" s="71">
        <f t="shared" si="2"/>
        <v>0</v>
      </c>
      <c r="F31" s="54">
        <f t="shared" si="3"/>
        <v>0</v>
      </c>
      <c r="G31" s="54"/>
      <c r="H31" s="54"/>
      <c r="I31" s="7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74"/>
      <c r="AN31" s="61">
        <f ca="1">SUM('AC-SVC'!C31)</f>
        <v>0</v>
      </c>
      <c r="AO31" s="61">
        <f ca="1">SUM('AC-SVC'!D31)</f>
        <v>0</v>
      </c>
      <c r="AP31" s="61">
        <f ca="1">SUM('AC-SVC'!E31)</f>
        <v>0</v>
      </c>
      <c r="AQ31" s="61">
        <f ca="1">SUM('AC-SVC'!F31)</f>
        <v>0</v>
      </c>
      <c r="AR31" s="61">
        <f ca="1">SUM('AC-SVC'!G31)</f>
        <v>0</v>
      </c>
      <c r="AS31" s="61">
        <f ca="1">SUM('AC-SVC'!H31)</f>
        <v>0</v>
      </c>
      <c r="AT31" s="61">
        <f ca="1">SUM(PT!E31)</f>
        <v>0</v>
      </c>
      <c r="AU31" s="39">
        <f ca="1">SUM(FC!F31)</f>
        <v>0</v>
      </c>
      <c r="AV31" s="61">
        <f ca="1">SUM(FN!H31)</f>
        <v>0</v>
      </c>
      <c r="AW31" s="39">
        <f ca="1">SUM(FS!F31)</f>
        <v>0</v>
      </c>
      <c r="AX31" s="61">
        <f ca="1">SUM(IT!F31)</f>
        <v>0</v>
      </c>
      <c r="AY31" s="87"/>
      <c r="AZ31" s="67">
        <f t="shared" si="0"/>
        <v>0</v>
      </c>
    </row>
    <row r="32" spans="1:52">
      <c r="A32" s="33" t="s">
        <v>210</v>
      </c>
      <c r="B32" s="33" t="s">
        <v>211</v>
      </c>
      <c r="C32" s="54"/>
      <c r="D32" s="54">
        <f t="shared" si="1"/>
        <v>0</v>
      </c>
      <c r="E32" s="71">
        <f t="shared" si="2"/>
        <v>0</v>
      </c>
      <c r="F32" s="54">
        <f t="shared" si="3"/>
        <v>0</v>
      </c>
      <c r="G32" s="54"/>
      <c r="H32" s="54"/>
      <c r="I32" s="7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74"/>
      <c r="AN32" s="61">
        <f ca="1">SUM('AC-SVC'!C32)</f>
        <v>0</v>
      </c>
      <c r="AO32" s="61">
        <f ca="1">SUM('AC-SVC'!D32)</f>
        <v>0</v>
      </c>
      <c r="AP32" s="61">
        <f ca="1">SUM('AC-SVC'!E32)</f>
        <v>0</v>
      </c>
      <c r="AQ32" s="61">
        <f ca="1">SUM('AC-SVC'!F32)</f>
        <v>0</v>
      </c>
      <c r="AR32" s="61">
        <f ca="1">SUM('AC-SVC'!G32)</f>
        <v>0</v>
      </c>
      <c r="AS32" s="61">
        <f ca="1">SUM('AC-SVC'!H32)</f>
        <v>0</v>
      </c>
      <c r="AT32" s="61">
        <f ca="1">SUM(PT!E32)</f>
        <v>0</v>
      </c>
      <c r="AU32" s="39">
        <f ca="1">SUM(FC!F32)</f>
        <v>0</v>
      </c>
      <c r="AV32" s="61">
        <f ca="1">SUM(FN!H32)</f>
        <v>0</v>
      </c>
      <c r="AW32" s="39">
        <f ca="1">SUM(FS!F32)</f>
        <v>0</v>
      </c>
      <c r="AX32" s="61">
        <f ca="1">SUM(IT!F32)</f>
        <v>0</v>
      </c>
      <c r="AY32" s="87"/>
      <c r="AZ32" s="67">
        <f t="shared" si="0"/>
        <v>0</v>
      </c>
    </row>
    <row r="33" spans="1:52">
      <c r="A33" s="33" t="s">
        <v>214</v>
      </c>
      <c r="B33" s="33" t="s">
        <v>215</v>
      </c>
      <c r="C33" s="54">
        <v>25000</v>
      </c>
      <c r="D33" s="54">
        <f t="shared" si="1"/>
        <v>0</v>
      </c>
      <c r="E33" s="71">
        <f t="shared" si="2"/>
        <v>0</v>
      </c>
      <c r="F33" s="54">
        <f t="shared" si="3"/>
        <v>0</v>
      </c>
      <c r="G33" s="54"/>
      <c r="H33" s="54"/>
      <c r="I33" s="78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74"/>
      <c r="AN33" s="61">
        <f ca="1">SUM('AC-SVC'!C33)</f>
        <v>0</v>
      </c>
      <c r="AO33" s="61">
        <f ca="1">SUM('AC-SVC'!D33)</f>
        <v>0</v>
      </c>
      <c r="AP33" s="61">
        <f ca="1">SUM('AC-SVC'!E33)</f>
        <v>0</v>
      </c>
      <c r="AQ33" s="61">
        <f ca="1">SUM('AC-SVC'!F33)</f>
        <v>0</v>
      </c>
      <c r="AR33" s="61">
        <f ca="1">SUM('AC-SVC'!G33)</f>
        <v>0</v>
      </c>
      <c r="AS33" s="61">
        <f ca="1">SUM('AC-SVC'!H33)</f>
        <v>0</v>
      </c>
      <c r="AT33" s="61">
        <f ca="1">SUM(PT!E33)</f>
        <v>0</v>
      </c>
      <c r="AU33" s="39">
        <f ca="1">SUM(FC!F33)</f>
        <v>0</v>
      </c>
      <c r="AV33" s="61">
        <f ca="1">SUM(FN!H33)</f>
        <v>0</v>
      </c>
      <c r="AW33" s="39">
        <f ca="1">SUM(FS!F33)</f>
        <v>0</v>
      </c>
      <c r="AX33" s="61">
        <f ca="1">SUM(IT!F33)</f>
        <v>0</v>
      </c>
      <c r="AY33" s="87"/>
      <c r="AZ33" s="67">
        <f t="shared" si="0"/>
        <v>25000</v>
      </c>
    </row>
    <row r="34" spans="1:52">
      <c r="A34" s="33" t="s">
        <v>213</v>
      </c>
      <c r="B34" s="33" t="s">
        <v>292</v>
      </c>
      <c r="C34" s="54"/>
      <c r="D34" s="54">
        <f t="shared" si="1"/>
        <v>0</v>
      </c>
      <c r="E34" s="71">
        <f t="shared" si="2"/>
        <v>0</v>
      </c>
      <c r="F34" s="54">
        <f t="shared" si="3"/>
        <v>0</v>
      </c>
      <c r="G34" s="54"/>
      <c r="H34" s="54"/>
      <c r="I34" s="78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74"/>
      <c r="AN34" s="61">
        <f ca="1">SUM('AC-SVC'!C34)</f>
        <v>0</v>
      </c>
      <c r="AO34" s="61">
        <f ca="1">SUM('AC-SVC'!D34)</f>
        <v>0</v>
      </c>
      <c r="AP34" s="61">
        <f ca="1">SUM('AC-SVC'!E34)</f>
        <v>0</v>
      </c>
      <c r="AQ34" s="61">
        <f ca="1">SUM('AC-SVC'!F34)</f>
        <v>0</v>
      </c>
      <c r="AR34" s="61">
        <f ca="1">SUM('AC-SVC'!G34)</f>
        <v>0</v>
      </c>
      <c r="AS34" s="61">
        <f ca="1">SUM('AC-SVC'!H34)</f>
        <v>0</v>
      </c>
      <c r="AT34" s="61">
        <f ca="1">SUM(PT!E34)</f>
        <v>0</v>
      </c>
      <c r="AU34" s="39">
        <f ca="1">SUM(FC!F34)</f>
        <v>0</v>
      </c>
      <c r="AV34" s="61">
        <f ca="1">SUM(FN!H34)</f>
        <v>0</v>
      </c>
      <c r="AW34" s="39">
        <f ca="1">SUM(FS!F34)</f>
        <v>0</v>
      </c>
      <c r="AX34" s="61">
        <f ca="1">SUM(IT!F34)</f>
        <v>0</v>
      </c>
      <c r="AY34" s="87"/>
      <c r="AZ34" s="67">
        <f t="shared" si="0"/>
        <v>0</v>
      </c>
    </row>
    <row r="35" spans="1:52">
      <c r="A35" s="33" t="s">
        <v>212</v>
      </c>
      <c r="B35" s="33" t="s">
        <v>293</v>
      </c>
      <c r="C35" s="54"/>
      <c r="D35" s="54">
        <f t="shared" si="1"/>
        <v>0</v>
      </c>
      <c r="E35" s="71">
        <f t="shared" si="2"/>
        <v>0</v>
      </c>
      <c r="F35" s="54">
        <f t="shared" si="3"/>
        <v>0</v>
      </c>
      <c r="G35" s="54"/>
      <c r="H35" s="54"/>
      <c r="I35" s="78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74"/>
      <c r="AN35" s="61">
        <f ca="1">SUM('AC-SVC'!C35)</f>
        <v>0</v>
      </c>
      <c r="AO35" s="61">
        <f ca="1">SUM('AC-SVC'!D35)</f>
        <v>0</v>
      </c>
      <c r="AP35" s="61">
        <f ca="1">SUM('AC-SVC'!E35)</f>
        <v>0</v>
      </c>
      <c r="AQ35" s="61">
        <f ca="1">SUM('AC-SVC'!F35)</f>
        <v>0</v>
      </c>
      <c r="AR35" s="61">
        <f ca="1">SUM('AC-SVC'!G35)</f>
        <v>0</v>
      </c>
      <c r="AS35" s="61">
        <f ca="1">SUM('AC-SVC'!H35)</f>
        <v>0</v>
      </c>
      <c r="AT35" s="61">
        <f ca="1">SUM(PT!E35)</f>
        <v>0</v>
      </c>
      <c r="AU35" s="39">
        <f ca="1">SUM(FC!F35)</f>
        <v>0</v>
      </c>
      <c r="AV35" s="61">
        <f ca="1">SUM(FN!H35)</f>
        <v>0</v>
      </c>
      <c r="AW35" s="39">
        <f ca="1">SUM(FS!F35)</f>
        <v>0</v>
      </c>
      <c r="AX35" s="61">
        <f ca="1">SUM(IT!F35)</f>
        <v>0</v>
      </c>
      <c r="AY35" s="87"/>
      <c r="AZ35" s="67">
        <f t="shared" si="0"/>
        <v>0</v>
      </c>
    </row>
    <row r="36" spans="1:52">
      <c r="A36" s="33" t="s">
        <v>216</v>
      </c>
      <c r="B36" s="33" t="s">
        <v>294</v>
      </c>
      <c r="C36" s="54"/>
      <c r="D36" s="54">
        <f t="shared" si="1"/>
        <v>0</v>
      </c>
      <c r="E36" s="71">
        <f t="shared" si="2"/>
        <v>0</v>
      </c>
      <c r="F36" s="54">
        <f t="shared" si="3"/>
        <v>0</v>
      </c>
      <c r="G36" s="54"/>
      <c r="H36" s="54"/>
      <c r="I36" s="78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74"/>
      <c r="AN36" s="61">
        <f ca="1">SUM('AC-SVC'!C36)</f>
        <v>0</v>
      </c>
      <c r="AO36" s="61">
        <f ca="1">SUM('AC-SVC'!D36)</f>
        <v>0</v>
      </c>
      <c r="AP36" s="61">
        <f ca="1">SUM('AC-SVC'!E36)</f>
        <v>0</v>
      </c>
      <c r="AQ36" s="61">
        <f ca="1">SUM('AC-SVC'!F36)</f>
        <v>0</v>
      </c>
      <c r="AR36" s="61">
        <f ca="1">SUM('AC-SVC'!G36)</f>
        <v>0</v>
      </c>
      <c r="AS36" s="61">
        <f ca="1">SUM('AC-SVC'!H36)</f>
        <v>0</v>
      </c>
      <c r="AT36" s="61">
        <f ca="1">SUM(PT!E36)</f>
        <v>0</v>
      </c>
      <c r="AU36" s="39">
        <f ca="1">SUM(FC!F36)</f>
        <v>0</v>
      </c>
      <c r="AV36" s="61">
        <f ca="1">SUM(FN!H36)</f>
        <v>0</v>
      </c>
      <c r="AW36" s="39">
        <f ca="1">SUM(FS!F36)</f>
        <v>0</v>
      </c>
      <c r="AX36" s="61">
        <f ca="1">SUM(IT!F36)</f>
        <v>0</v>
      </c>
      <c r="AY36" s="87"/>
      <c r="AZ36" s="67">
        <f t="shared" si="0"/>
        <v>0</v>
      </c>
    </row>
    <row r="37" spans="1:52">
      <c r="A37" s="33" t="s">
        <v>217</v>
      </c>
      <c r="B37" s="33" t="s">
        <v>295</v>
      </c>
      <c r="C37" s="55"/>
      <c r="D37" s="55">
        <f t="shared" si="1"/>
        <v>0</v>
      </c>
      <c r="E37" s="55">
        <f t="shared" si="2"/>
        <v>0</v>
      </c>
      <c r="F37" s="55">
        <f t="shared" si="3"/>
        <v>0</v>
      </c>
      <c r="G37" s="55"/>
      <c r="H37" s="55"/>
      <c r="I37" s="80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74"/>
      <c r="AN37" s="40">
        <f ca="1">SUM('AC-SVC'!C37)</f>
        <v>0</v>
      </c>
      <c r="AO37" s="40">
        <f ca="1">SUM('AC-SVC'!D37)</f>
        <v>0</v>
      </c>
      <c r="AP37" s="40">
        <f ca="1">SUM('AC-SVC'!E37)</f>
        <v>0</v>
      </c>
      <c r="AQ37" s="40">
        <f ca="1">SUM('AC-SVC'!F37)</f>
        <v>0</v>
      </c>
      <c r="AR37" s="40">
        <f ca="1">SUM('AC-SVC'!G37)</f>
        <v>0</v>
      </c>
      <c r="AS37" s="40">
        <f ca="1">SUM('AC-SVC'!H37)</f>
        <v>0</v>
      </c>
      <c r="AT37" s="40">
        <f ca="1">SUM(PT!E37)</f>
        <v>0</v>
      </c>
      <c r="AU37" s="40">
        <f ca="1">SUM(FC!F37)</f>
        <v>0</v>
      </c>
      <c r="AV37" s="40">
        <f ca="1">SUM(FN!H37)</f>
        <v>0</v>
      </c>
      <c r="AW37" s="40">
        <f ca="1">SUM(FS!F37)</f>
        <v>0</v>
      </c>
      <c r="AX37" s="40">
        <f ca="1">SUM(IT!F37)</f>
        <v>0</v>
      </c>
      <c r="AY37" s="80"/>
      <c r="AZ37" s="66">
        <f t="shared" si="0"/>
        <v>0</v>
      </c>
    </row>
    <row r="38" spans="1:52">
      <c r="B38" s="33" t="s">
        <v>296</v>
      </c>
      <c r="C38" s="54">
        <f t="shared" ref="C38:H38" si="4">SUM(C13:C37)</f>
        <v>205060</v>
      </c>
      <c r="D38" s="54">
        <f t="shared" si="4"/>
        <v>0</v>
      </c>
      <c r="E38" s="54">
        <f t="shared" si="4"/>
        <v>0</v>
      </c>
      <c r="F38" s="54">
        <f t="shared" si="4"/>
        <v>0</v>
      </c>
      <c r="G38" s="54">
        <f t="shared" si="4"/>
        <v>0</v>
      </c>
      <c r="H38" s="54">
        <f t="shared" si="4"/>
        <v>0</v>
      </c>
      <c r="I38" s="78"/>
      <c r="J38" s="54">
        <f t="shared" ref="J38:AL38" si="5">SUM(J13:J37)</f>
        <v>0</v>
      </c>
      <c r="K38" s="54">
        <f t="shared" si="5"/>
        <v>0</v>
      </c>
      <c r="L38" s="54">
        <f t="shared" si="5"/>
        <v>0</v>
      </c>
      <c r="M38" s="54">
        <f t="shared" si="5"/>
        <v>0</v>
      </c>
      <c r="N38" s="54"/>
      <c r="O38" s="54">
        <f t="shared" si="5"/>
        <v>0</v>
      </c>
      <c r="P38" s="54">
        <f t="shared" si="5"/>
        <v>0</v>
      </c>
      <c r="Q38" s="54">
        <f t="shared" si="5"/>
        <v>0</v>
      </c>
      <c r="R38" s="54">
        <f t="shared" si="5"/>
        <v>0</v>
      </c>
      <c r="S38" s="54">
        <f t="shared" si="5"/>
        <v>0</v>
      </c>
      <c r="T38" s="54">
        <f t="shared" si="5"/>
        <v>0</v>
      </c>
      <c r="U38" s="54">
        <f t="shared" si="5"/>
        <v>0</v>
      </c>
      <c r="V38" s="54">
        <f t="shared" si="5"/>
        <v>0</v>
      </c>
      <c r="W38" s="54">
        <f t="shared" si="5"/>
        <v>0</v>
      </c>
      <c r="X38" s="54">
        <f t="shared" si="5"/>
        <v>0</v>
      </c>
      <c r="Y38" s="54">
        <f t="shared" si="5"/>
        <v>0</v>
      </c>
      <c r="Z38" s="54">
        <f t="shared" si="5"/>
        <v>0</v>
      </c>
      <c r="AA38" s="54">
        <f t="shared" si="5"/>
        <v>0</v>
      </c>
      <c r="AB38" s="54">
        <f t="shared" si="5"/>
        <v>0</v>
      </c>
      <c r="AC38" s="54">
        <f t="shared" si="5"/>
        <v>0</v>
      </c>
      <c r="AD38" s="54">
        <f t="shared" si="5"/>
        <v>0</v>
      </c>
      <c r="AE38" s="54">
        <f t="shared" si="5"/>
        <v>0</v>
      </c>
      <c r="AF38" s="54">
        <f t="shared" si="5"/>
        <v>0</v>
      </c>
      <c r="AG38" s="54">
        <f t="shared" si="5"/>
        <v>0</v>
      </c>
      <c r="AH38" s="54">
        <f t="shared" si="5"/>
        <v>0</v>
      </c>
      <c r="AI38" s="54">
        <f t="shared" si="5"/>
        <v>0</v>
      </c>
      <c r="AJ38" s="54">
        <f t="shared" si="5"/>
        <v>0</v>
      </c>
      <c r="AK38" s="54">
        <f>SUM(AK13:AK37)</f>
        <v>0</v>
      </c>
      <c r="AL38" s="54">
        <f t="shared" si="5"/>
        <v>0</v>
      </c>
      <c r="AM38" s="74"/>
      <c r="AN38" s="39">
        <f t="shared" ref="AN38:AX38" si="6">+SUM(AN13:AN37)</f>
        <v>0</v>
      </c>
      <c r="AO38" s="54">
        <f t="shared" si="6"/>
        <v>0</v>
      </c>
      <c r="AP38" s="39">
        <f t="shared" si="6"/>
        <v>0</v>
      </c>
      <c r="AQ38" s="39">
        <f t="shared" si="6"/>
        <v>0</v>
      </c>
      <c r="AR38" s="39">
        <f t="shared" si="6"/>
        <v>800</v>
      </c>
      <c r="AS38" s="39">
        <f t="shared" si="6"/>
        <v>0</v>
      </c>
      <c r="AT38" s="39">
        <f t="shared" si="6"/>
        <v>33750</v>
      </c>
      <c r="AU38" s="39">
        <f t="shared" si="6"/>
        <v>0</v>
      </c>
      <c r="AV38" s="39">
        <f t="shared" si="6"/>
        <v>0</v>
      </c>
      <c r="AW38" s="39">
        <f t="shared" si="6"/>
        <v>49440</v>
      </c>
      <c r="AX38" s="39">
        <f t="shared" si="6"/>
        <v>0</v>
      </c>
      <c r="AY38" s="78"/>
      <c r="AZ38" s="41">
        <f>SUM(AZ13:AZ37)</f>
        <v>289050</v>
      </c>
    </row>
    <row r="39" spans="1:52">
      <c r="C39" s="54"/>
      <c r="D39" s="54"/>
      <c r="E39" s="54"/>
      <c r="F39" s="54"/>
      <c r="G39" s="54"/>
      <c r="H39" s="54"/>
      <c r="I39" s="78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74"/>
      <c r="AN39" s="39"/>
      <c r="AO39" s="54"/>
      <c r="AP39" s="39"/>
      <c r="AQ39" s="39"/>
      <c r="AR39" s="39"/>
      <c r="AS39" s="39"/>
      <c r="AT39" s="39"/>
      <c r="AU39" s="39"/>
      <c r="AV39" s="39"/>
      <c r="AW39" s="39"/>
      <c r="AX39" s="39"/>
      <c r="AY39" s="78"/>
      <c r="AZ39" s="57"/>
    </row>
    <row r="40" spans="1:52">
      <c r="A40" s="33" t="s">
        <v>297</v>
      </c>
      <c r="C40" s="54"/>
      <c r="D40" s="54"/>
      <c r="E40" s="54"/>
      <c r="F40" s="54"/>
      <c r="G40" s="54"/>
      <c r="H40" s="54"/>
      <c r="I40" s="78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74"/>
      <c r="AN40" s="39"/>
      <c r="AO40" s="54"/>
      <c r="AP40" s="39"/>
      <c r="AQ40" s="39"/>
      <c r="AR40" s="39"/>
      <c r="AS40" s="39"/>
      <c r="AT40" s="39"/>
      <c r="AU40" s="39"/>
      <c r="AV40" s="39"/>
      <c r="AW40" s="39"/>
      <c r="AX40" s="39"/>
      <c r="AY40" s="78"/>
      <c r="AZ40" s="57"/>
    </row>
    <row r="41" spans="1:52">
      <c r="A41" s="33" t="s">
        <v>218</v>
      </c>
      <c r="B41" s="33" t="s">
        <v>298</v>
      </c>
      <c r="C41" s="54">
        <f ca="1">+SUM!B7*9245</f>
        <v>2856705</v>
      </c>
      <c r="D41" s="54">
        <f t="shared" ref="D41:D48" si="7">SUM(J41:M41)</f>
        <v>0</v>
      </c>
      <c r="E41" s="71">
        <f t="shared" ref="E41:E48" si="8">SUM(O41:AG41)</f>
        <v>0</v>
      </c>
      <c r="F41" s="71">
        <f t="shared" ref="F41:F48" si="9">SUM(AH41:AL41)</f>
        <v>0</v>
      </c>
      <c r="G41" s="54"/>
      <c r="H41" s="54"/>
      <c r="I41" s="78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74"/>
      <c r="AN41" s="61">
        <f ca="1">SUM('AC-SVC'!C41)</f>
        <v>0</v>
      </c>
      <c r="AO41" s="61">
        <f ca="1">SUM('AC-SVC'!D41)</f>
        <v>0</v>
      </c>
      <c r="AP41" s="61">
        <f ca="1">SUM('AC-SVC'!E41)</f>
        <v>0</v>
      </c>
      <c r="AQ41" s="61">
        <f ca="1">SUM('AC-SVC'!F41)</f>
        <v>0</v>
      </c>
      <c r="AR41" s="61">
        <f ca="1">SUM('AC-SVC'!G41)</f>
        <v>0</v>
      </c>
      <c r="AS41" s="61">
        <f ca="1">SUM('AC-SVC'!H41)</f>
        <v>0</v>
      </c>
      <c r="AT41" s="61">
        <f ca="1">SUM(PT!E41)</f>
        <v>0</v>
      </c>
      <c r="AU41" s="61">
        <f ca="1">SUM(FC!F41)</f>
        <v>0</v>
      </c>
      <c r="AV41" s="61">
        <f ca="1">SUM(FN!H41)</f>
        <v>0</v>
      </c>
      <c r="AW41" s="61">
        <f ca="1">SUM(FS!F41)</f>
        <v>0</v>
      </c>
      <c r="AX41" s="61">
        <f ca="1">SUM(IT!F41)</f>
        <v>0</v>
      </c>
      <c r="AY41" s="87"/>
      <c r="AZ41" s="67">
        <f t="shared" ref="AZ41:AZ48" si="10">SUM(C41:H41)+SUM(AN41:AX41)</f>
        <v>2856705</v>
      </c>
    </row>
    <row r="42" spans="1:52">
      <c r="A42" s="33" t="s">
        <v>219</v>
      </c>
      <c r="B42" s="33" t="s">
        <v>220</v>
      </c>
      <c r="C42" s="54">
        <f>6000*6</f>
        <v>36000</v>
      </c>
      <c r="D42" s="54">
        <f t="shared" si="7"/>
        <v>0</v>
      </c>
      <c r="E42" s="71">
        <f t="shared" si="8"/>
        <v>0</v>
      </c>
      <c r="F42" s="71">
        <f t="shared" si="9"/>
        <v>0</v>
      </c>
      <c r="G42" s="54"/>
      <c r="H42" s="54"/>
      <c r="I42" s="78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74"/>
      <c r="AN42" s="61">
        <f ca="1">SUM('AC-SVC'!C42)</f>
        <v>0</v>
      </c>
      <c r="AO42" s="61">
        <f ca="1">SUM('AC-SVC'!D42)</f>
        <v>0</v>
      </c>
      <c r="AP42" s="61">
        <f ca="1">SUM('AC-SVC'!E42)</f>
        <v>0</v>
      </c>
      <c r="AQ42" s="61">
        <f ca="1">SUM('AC-SVC'!F42)</f>
        <v>0</v>
      </c>
      <c r="AR42" s="61">
        <f ca="1">SUM('AC-SVC'!G42)</f>
        <v>0</v>
      </c>
      <c r="AS42" s="61">
        <f ca="1">SUM('AC-SVC'!H42)</f>
        <v>0</v>
      </c>
      <c r="AT42" s="61">
        <f ca="1">SUM(PT!E42)</f>
        <v>0</v>
      </c>
      <c r="AU42" s="61">
        <f ca="1">SUM(FC!F42)</f>
        <v>0</v>
      </c>
      <c r="AV42" s="61">
        <f ca="1">SUM(FN!H42)</f>
        <v>0</v>
      </c>
      <c r="AW42" s="61">
        <f ca="1">SUM(FS!F42)</f>
        <v>0</v>
      </c>
      <c r="AX42" s="61">
        <f ca="1">SUM(IT!F42)</f>
        <v>0</v>
      </c>
      <c r="AY42" s="87"/>
      <c r="AZ42" s="67">
        <f t="shared" si="10"/>
        <v>36000</v>
      </c>
    </row>
    <row r="43" spans="1:52">
      <c r="A43" s="33" t="s">
        <v>221</v>
      </c>
      <c r="B43" s="33" t="s">
        <v>222</v>
      </c>
      <c r="C43" s="54">
        <v>68702</v>
      </c>
      <c r="D43" s="54">
        <f t="shared" si="7"/>
        <v>0</v>
      </c>
      <c r="E43" s="71">
        <f t="shared" si="8"/>
        <v>0</v>
      </c>
      <c r="F43" s="71">
        <f t="shared" si="9"/>
        <v>0</v>
      </c>
      <c r="G43" s="54"/>
      <c r="H43" s="54"/>
      <c r="I43" s="78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74"/>
      <c r="AN43" s="61">
        <f ca="1">SUM('AC-SVC'!C43)</f>
        <v>0</v>
      </c>
      <c r="AO43" s="61">
        <f ca="1">SUM('AC-SVC'!D43)</f>
        <v>0</v>
      </c>
      <c r="AP43" s="61">
        <f ca="1">SUM('AC-SVC'!E43)</f>
        <v>0</v>
      </c>
      <c r="AQ43" s="61">
        <f ca="1">SUM('AC-SVC'!F43)</f>
        <v>0</v>
      </c>
      <c r="AR43" s="61">
        <f ca="1">SUM('AC-SVC'!G43)</f>
        <v>0</v>
      </c>
      <c r="AS43" s="61">
        <f ca="1">SUM('AC-SVC'!H43)</f>
        <v>0</v>
      </c>
      <c r="AT43" s="61">
        <f ca="1">SUM(PT!E43)</f>
        <v>0</v>
      </c>
      <c r="AU43" s="61">
        <f ca="1">SUM(FC!F43)</f>
        <v>0</v>
      </c>
      <c r="AV43" s="61">
        <f ca="1">SUM(FN!H43)</f>
        <v>0</v>
      </c>
      <c r="AW43" s="61">
        <f ca="1">SUM(FS!F43)</f>
        <v>0</v>
      </c>
      <c r="AX43" s="61">
        <f ca="1">SUM(IT!F43)</f>
        <v>0</v>
      </c>
      <c r="AY43" s="87"/>
      <c r="AZ43" s="67">
        <f t="shared" si="10"/>
        <v>68702</v>
      </c>
    </row>
    <row r="44" spans="1:52">
      <c r="A44" s="33" t="s">
        <v>223</v>
      </c>
      <c r="B44" s="33" t="s">
        <v>299</v>
      </c>
      <c r="C44" s="54"/>
      <c r="D44" s="54">
        <f t="shared" si="7"/>
        <v>0</v>
      </c>
      <c r="E44" s="71">
        <f t="shared" si="8"/>
        <v>0</v>
      </c>
      <c r="F44" s="71">
        <f t="shared" si="9"/>
        <v>0</v>
      </c>
      <c r="G44" s="54"/>
      <c r="H44" s="54"/>
      <c r="I44" s="78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74"/>
      <c r="AN44" s="61">
        <f ca="1">SUM('AC-SVC'!C44)</f>
        <v>0</v>
      </c>
      <c r="AO44" s="61">
        <f ca="1">SUM('AC-SVC'!D44)</f>
        <v>0</v>
      </c>
      <c r="AP44" s="61">
        <f ca="1">SUM('AC-SVC'!E44)</f>
        <v>0</v>
      </c>
      <c r="AQ44" s="61">
        <f ca="1">SUM('AC-SVC'!F44)</f>
        <v>0</v>
      </c>
      <c r="AR44" s="61">
        <f ca="1">SUM('AC-SVC'!G44)</f>
        <v>0</v>
      </c>
      <c r="AS44" s="61">
        <f ca="1">SUM('AC-SVC'!H44)</f>
        <v>0</v>
      </c>
      <c r="AT44" s="61">
        <f ca="1">SUM(PT!E44)</f>
        <v>0</v>
      </c>
      <c r="AU44" s="61">
        <f ca="1">SUM(FC!F44)</f>
        <v>0</v>
      </c>
      <c r="AV44" s="61">
        <f ca="1">SUM(FN!H44)</f>
        <v>0</v>
      </c>
      <c r="AW44" s="61">
        <f ca="1">SUM(FS!F44)</f>
        <v>0</v>
      </c>
      <c r="AX44" s="61">
        <f ca="1">SUM(IT!F44)</f>
        <v>0</v>
      </c>
      <c r="AY44" s="87"/>
      <c r="AZ44" s="67">
        <f t="shared" si="10"/>
        <v>0</v>
      </c>
    </row>
    <row r="45" spans="1:52">
      <c r="A45" s="33" t="s">
        <v>224</v>
      </c>
      <c r="B45" s="33" t="s">
        <v>225</v>
      </c>
      <c r="C45" s="54"/>
      <c r="D45" s="54">
        <f t="shared" si="7"/>
        <v>0</v>
      </c>
      <c r="E45" s="71">
        <f t="shared" si="8"/>
        <v>0</v>
      </c>
      <c r="F45" s="71">
        <f t="shared" si="9"/>
        <v>0</v>
      </c>
      <c r="G45" s="54"/>
      <c r="H45" s="54"/>
      <c r="I45" s="78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74"/>
      <c r="AN45" s="61">
        <f ca="1">SUM('AC-SVC'!C45)</f>
        <v>0</v>
      </c>
      <c r="AO45" s="61">
        <f ca="1">SUM('AC-SVC'!D45)</f>
        <v>0</v>
      </c>
      <c r="AP45" s="61">
        <f ca="1">SUM('AC-SVC'!E45)</f>
        <v>0</v>
      </c>
      <c r="AQ45" s="61">
        <f ca="1">SUM('AC-SVC'!F45)</f>
        <v>0</v>
      </c>
      <c r="AR45" s="61">
        <f ca="1">SUM('AC-SVC'!G45)</f>
        <v>0</v>
      </c>
      <c r="AS45" s="61">
        <f ca="1">SUM('AC-SVC'!H45)</f>
        <v>0</v>
      </c>
      <c r="AT45" s="61">
        <f ca="1">SUM(PT!E45)</f>
        <v>0</v>
      </c>
      <c r="AU45" s="61">
        <f ca="1">SUM(FC!F45)</f>
        <v>0</v>
      </c>
      <c r="AV45" s="61">
        <f ca="1">SUM(FN!H45)</f>
        <v>0</v>
      </c>
      <c r="AW45" s="61">
        <f ca="1">SUM(FS!F45)</f>
        <v>0</v>
      </c>
      <c r="AX45" s="61">
        <f ca="1">SUM(IT!F45)</f>
        <v>0</v>
      </c>
      <c r="AY45" s="87"/>
      <c r="AZ45" s="67">
        <f t="shared" si="10"/>
        <v>0</v>
      </c>
    </row>
    <row r="46" spans="1:52">
      <c r="A46" s="33" t="s">
        <v>226</v>
      </c>
      <c r="B46" s="33" t="s">
        <v>227</v>
      </c>
      <c r="C46" s="54"/>
      <c r="D46" s="54">
        <f t="shared" si="7"/>
        <v>0</v>
      </c>
      <c r="E46" s="71">
        <f t="shared" si="8"/>
        <v>0</v>
      </c>
      <c r="F46" s="71">
        <f t="shared" si="9"/>
        <v>0</v>
      </c>
      <c r="G46" s="54"/>
      <c r="H46" s="54"/>
      <c r="I46" s="78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74"/>
      <c r="AN46" s="61">
        <f ca="1">SUM('AC-SVC'!C46)</f>
        <v>0</v>
      </c>
      <c r="AO46" s="61">
        <f ca="1">SUM('AC-SVC'!D46)</f>
        <v>0</v>
      </c>
      <c r="AP46" s="61">
        <f ca="1">SUM('AC-SVC'!E46)</f>
        <v>0</v>
      </c>
      <c r="AQ46" s="61">
        <f ca="1">SUM('AC-SVC'!F46)</f>
        <v>0</v>
      </c>
      <c r="AR46" s="61">
        <f ca="1">SUM('AC-SVC'!G46)</f>
        <v>0</v>
      </c>
      <c r="AS46" s="61">
        <f ca="1">SUM('AC-SVC'!H46)</f>
        <v>0</v>
      </c>
      <c r="AT46" s="61">
        <f ca="1">SUM(PT!E46)</f>
        <v>0</v>
      </c>
      <c r="AU46" s="61">
        <f ca="1">SUM(FC!F46)</f>
        <v>0</v>
      </c>
      <c r="AV46" s="61">
        <f ca="1">SUM(FN!H46)</f>
        <v>0</v>
      </c>
      <c r="AW46" s="61">
        <f ca="1">SUM(FS!F46)</f>
        <v>0</v>
      </c>
      <c r="AX46" s="61">
        <f ca="1">SUM(IT!F46)</f>
        <v>0</v>
      </c>
      <c r="AY46" s="87"/>
      <c r="AZ46" s="67">
        <f t="shared" si="10"/>
        <v>0</v>
      </c>
    </row>
    <row r="47" spans="1:52">
      <c r="A47" s="33" t="s">
        <v>228</v>
      </c>
      <c r="B47" s="33" t="s">
        <v>300</v>
      </c>
      <c r="C47" s="54"/>
      <c r="D47" s="54">
        <f t="shared" si="7"/>
        <v>0</v>
      </c>
      <c r="E47" s="71">
        <f t="shared" si="8"/>
        <v>0</v>
      </c>
      <c r="F47" s="71">
        <f t="shared" si="9"/>
        <v>0</v>
      </c>
      <c r="G47" s="54"/>
      <c r="H47" s="54"/>
      <c r="I47" s="78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74"/>
      <c r="AN47" s="61">
        <f ca="1">SUM('AC-SVC'!C47)</f>
        <v>0</v>
      </c>
      <c r="AO47" s="61">
        <f ca="1">SUM('AC-SVC'!D47)</f>
        <v>0</v>
      </c>
      <c r="AP47" s="61">
        <f ca="1">SUM('AC-SVC'!E47)</f>
        <v>0</v>
      </c>
      <c r="AQ47" s="61">
        <f ca="1">SUM('AC-SVC'!F47)</f>
        <v>0</v>
      </c>
      <c r="AR47" s="61">
        <f ca="1">SUM('AC-SVC'!G47)</f>
        <v>0</v>
      </c>
      <c r="AS47" s="61">
        <f ca="1">SUM('AC-SVC'!H47)</f>
        <v>0</v>
      </c>
      <c r="AT47" s="61">
        <f ca="1">SUM(PT!E47)</f>
        <v>0</v>
      </c>
      <c r="AU47" s="61">
        <f ca="1">SUM(FC!F47)</f>
        <v>0</v>
      </c>
      <c r="AV47" s="61">
        <f ca="1">SUM(FN!H47)</f>
        <v>0</v>
      </c>
      <c r="AW47" s="61">
        <f ca="1">SUM(FS!F47)</f>
        <v>0</v>
      </c>
      <c r="AX47" s="61">
        <f ca="1">SUM(IT!F47)</f>
        <v>0</v>
      </c>
      <c r="AY47" s="87"/>
      <c r="AZ47" s="67">
        <f t="shared" si="10"/>
        <v>0</v>
      </c>
    </row>
    <row r="48" spans="1:52">
      <c r="A48" s="33" t="s">
        <v>229</v>
      </c>
      <c r="B48" s="33" t="s">
        <v>301</v>
      </c>
      <c r="C48" s="55"/>
      <c r="D48" s="55">
        <f t="shared" si="7"/>
        <v>0</v>
      </c>
      <c r="E48" s="55">
        <f t="shared" si="8"/>
        <v>0</v>
      </c>
      <c r="F48" s="55">
        <f t="shared" si="9"/>
        <v>0</v>
      </c>
      <c r="G48" s="55"/>
      <c r="H48" s="55"/>
      <c r="I48" s="80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74"/>
      <c r="AN48" s="40">
        <f ca="1">SUM('AC-SVC'!C48)</f>
        <v>0</v>
      </c>
      <c r="AO48" s="40">
        <f ca="1">SUM('AC-SVC'!D48)</f>
        <v>0</v>
      </c>
      <c r="AP48" s="40">
        <f ca="1">SUM('AC-SVC'!E48)</f>
        <v>0</v>
      </c>
      <c r="AQ48" s="40">
        <f ca="1">SUM('AC-SVC'!F48)</f>
        <v>0</v>
      </c>
      <c r="AR48" s="40">
        <f ca="1">SUM('AC-SVC'!G48)</f>
        <v>0</v>
      </c>
      <c r="AS48" s="40">
        <f ca="1">SUM('AC-SVC'!H48)</f>
        <v>0</v>
      </c>
      <c r="AT48" s="40">
        <f ca="1">SUM(PT!E48)</f>
        <v>0</v>
      </c>
      <c r="AU48" s="40">
        <f ca="1">SUM(FC!F48)</f>
        <v>0</v>
      </c>
      <c r="AV48" s="40">
        <f ca="1">SUM(FN!H48)</f>
        <v>0</v>
      </c>
      <c r="AW48" s="40">
        <f ca="1">SUM(FS!F48)</f>
        <v>0</v>
      </c>
      <c r="AX48" s="40">
        <f ca="1">SUM(IT!F48)</f>
        <v>0</v>
      </c>
      <c r="AY48" s="80"/>
      <c r="AZ48" s="66">
        <f t="shared" si="10"/>
        <v>0</v>
      </c>
    </row>
    <row r="49" spans="1:52">
      <c r="B49" s="33" t="s">
        <v>302</v>
      </c>
      <c r="C49" s="54">
        <f t="shared" ref="C49:H49" si="11">SUM(C41:C48)</f>
        <v>2961407</v>
      </c>
      <c r="D49" s="54">
        <f t="shared" si="11"/>
        <v>0</v>
      </c>
      <c r="E49" s="54">
        <f t="shared" si="11"/>
        <v>0</v>
      </c>
      <c r="F49" s="54">
        <f t="shared" si="11"/>
        <v>0</v>
      </c>
      <c r="G49" s="54">
        <f t="shared" si="11"/>
        <v>0</v>
      </c>
      <c r="H49" s="54">
        <f t="shared" si="11"/>
        <v>0</v>
      </c>
      <c r="I49" s="78"/>
      <c r="J49" s="54">
        <f t="shared" ref="J49:AL49" si="12">SUM(J41:J48)</f>
        <v>0</v>
      </c>
      <c r="K49" s="54">
        <f t="shared" si="12"/>
        <v>0</v>
      </c>
      <c r="L49" s="54">
        <f t="shared" si="12"/>
        <v>0</v>
      </c>
      <c r="M49" s="54">
        <f t="shared" si="12"/>
        <v>0</v>
      </c>
      <c r="N49" s="54"/>
      <c r="O49" s="54">
        <f t="shared" si="12"/>
        <v>0</v>
      </c>
      <c r="P49" s="54">
        <f t="shared" si="12"/>
        <v>0</v>
      </c>
      <c r="Q49" s="54">
        <f t="shared" si="12"/>
        <v>0</v>
      </c>
      <c r="R49" s="54">
        <f t="shared" si="12"/>
        <v>0</v>
      </c>
      <c r="S49" s="54">
        <f t="shared" si="12"/>
        <v>0</v>
      </c>
      <c r="T49" s="54">
        <f t="shared" si="12"/>
        <v>0</v>
      </c>
      <c r="U49" s="54">
        <f t="shared" si="12"/>
        <v>0</v>
      </c>
      <c r="V49" s="54">
        <f t="shared" si="12"/>
        <v>0</v>
      </c>
      <c r="W49" s="54">
        <f t="shared" si="12"/>
        <v>0</v>
      </c>
      <c r="X49" s="54">
        <f t="shared" si="12"/>
        <v>0</v>
      </c>
      <c r="Y49" s="54">
        <f t="shared" si="12"/>
        <v>0</v>
      </c>
      <c r="Z49" s="54">
        <f t="shared" si="12"/>
        <v>0</v>
      </c>
      <c r="AA49" s="54">
        <f t="shared" si="12"/>
        <v>0</v>
      </c>
      <c r="AB49" s="54">
        <f t="shared" si="12"/>
        <v>0</v>
      </c>
      <c r="AC49" s="54">
        <f t="shared" si="12"/>
        <v>0</v>
      </c>
      <c r="AD49" s="54">
        <f t="shared" si="12"/>
        <v>0</v>
      </c>
      <c r="AE49" s="54">
        <f t="shared" si="12"/>
        <v>0</v>
      </c>
      <c r="AF49" s="54">
        <f t="shared" si="12"/>
        <v>0</v>
      </c>
      <c r="AG49" s="54">
        <f t="shared" si="12"/>
        <v>0</v>
      </c>
      <c r="AH49" s="54">
        <f t="shared" si="12"/>
        <v>0</v>
      </c>
      <c r="AI49" s="54">
        <f t="shared" si="12"/>
        <v>0</v>
      </c>
      <c r="AJ49" s="54">
        <f t="shared" si="12"/>
        <v>0</v>
      </c>
      <c r="AK49" s="54">
        <f>SUM(AK41:AK48)</f>
        <v>0</v>
      </c>
      <c r="AL49" s="54">
        <f t="shared" si="12"/>
        <v>0</v>
      </c>
      <c r="AM49" s="74"/>
      <c r="AN49" s="39">
        <f t="shared" ref="AN49:AX49" si="13">+SUM(AN41:AN48)</f>
        <v>0</v>
      </c>
      <c r="AO49" s="54">
        <f t="shared" si="13"/>
        <v>0</v>
      </c>
      <c r="AP49" s="39">
        <f t="shared" si="13"/>
        <v>0</v>
      </c>
      <c r="AQ49" s="39">
        <f t="shared" si="13"/>
        <v>0</v>
      </c>
      <c r="AR49" s="39">
        <f t="shared" si="13"/>
        <v>0</v>
      </c>
      <c r="AS49" s="39">
        <f t="shared" si="13"/>
        <v>0</v>
      </c>
      <c r="AT49" s="39">
        <f t="shared" si="13"/>
        <v>0</v>
      </c>
      <c r="AU49" s="39">
        <f t="shared" si="13"/>
        <v>0</v>
      </c>
      <c r="AV49" s="39">
        <f t="shared" si="13"/>
        <v>0</v>
      </c>
      <c r="AW49" s="39">
        <f t="shared" si="13"/>
        <v>0</v>
      </c>
      <c r="AX49" s="39">
        <f t="shared" si="13"/>
        <v>0</v>
      </c>
      <c r="AY49" s="78"/>
      <c r="AZ49" s="57">
        <f>SUM(AZ41:AZ48)</f>
        <v>2961407</v>
      </c>
    </row>
    <row r="50" spans="1:52">
      <c r="C50" s="54"/>
      <c r="D50" s="54"/>
      <c r="E50" s="54"/>
      <c r="F50" s="54"/>
      <c r="G50" s="54"/>
      <c r="H50" s="54"/>
      <c r="I50" s="78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74"/>
      <c r="AN50" s="39"/>
      <c r="AO50" s="54"/>
      <c r="AP50" s="39"/>
      <c r="AQ50" s="39"/>
      <c r="AR50" s="39"/>
      <c r="AS50" s="39"/>
      <c r="AT50" s="39"/>
      <c r="AU50" s="39"/>
      <c r="AV50" s="39"/>
      <c r="AW50" s="39"/>
      <c r="AX50" s="39"/>
      <c r="AY50" s="78"/>
      <c r="AZ50" s="57"/>
    </row>
    <row r="51" spans="1:52">
      <c r="A51" s="33" t="s">
        <v>303</v>
      </c>
      <c r="C51" s="54"/>
      <c r="D51" s="54"/>
      <c r="E51" s="54"/>
      <c r="F51" s="54"/>
      <c r="G51" s="54"/>
      <c r="H51" s="54"/>
      <c r="I51" s="78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74"/>
      <c r="AN51" s="39"/>
      <c r="AO51" s="54"/>
      <c r="AP51" s="39"/>
      <c r="AQ51" s="39"/>
      <c r="AR51" s="39"/>
      <c r="AS51" s="39"/>
      <c r="AT51" s="39"/>
      <c r="AU51" s="39"/>
      <c r="AV51" s="39"/>
      <c r="AW51" s="39"/>
      <c r="AX51" s="39"/>
      <c r="AY51" s="78"/>
      <c r="AZ51" s="57"/>
    </row>
    <row r="52" spans="1:52">
      <c r="A52" s="33" t="s">
        <v>304</v>
      </c>
      <c r="C52" s="54"/>
      <c r="D52" s="54"/>
      <c r="E52" s="54"/>
      <c r="F52" s="54"/>
      <c r="G52" s="54"/>
      <c r="H52" s="54"/>
      <c r="I52" s="78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74"/>
      <c r="AN52" s="39"/>
      <c r="AO52" s="54"/>
      <c r="AP52" s="39"/>
      <c r="AQ52" s="39"/>
      <c r="AR52" s="39"/>
      <c r="AS52" s="39"/>
      <c r="AT52" s="39"/>
      <c r="AU52" s="39"/>
      <c r="AV52" s="39"/>
      <c r="AW52" s="39"/>
      <c r="AX52" s="39"/>
      <c r="AY52" s="78"/>
      <c r="AZ52" s="57"/>
    </row>
    <row r="53" spans="1:52">
      <c r="A53" s="33" t="s">
        <v>230</v>
      </c>
      <c r="B53" s="33" t="s">
        <v>407</v>
      </c>
      <c r="C53" s="54">
        <f ca="1">285*SUM!B7</f>
        <v>88065</v>
      </c>
      <c r="D53" s="54">
        <f t="shared" ref="D53:D65" si="14">SUM(J53:M53)</f>
        <v>0</v>
      </c>
      <c r="E53" s="71">
        <f t="shared" ref="E53:E65" si="15">SUM(O53:AG53)</f>
        <v>0</v>
      </c>
      <c r="F53" s="71">
        <f t="shared" ref="F53:F65" si="16">SUM(AH53:AL53)</f>
        <v>0</v>
      </c>
      <c r="G53" s="54"/>
      <c r="H53" s="54"/>
      <c r="I53" s="78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74"/>
      <c r="AN53" s="61">
        <f ca="1">SUM('AC-SVC'!C53)</f>
        <v>0</v>
      </c>
      <c r="AO53" s="61">
        <f ca="1">SUM('AC-SVC'!D53)</f>
        <v>0</v>
      </c>
      <c r="AP53" s="61">
        <f ca="1">SUM('AC-SVC'!E53)</f>
        <v>0</v>
      </c>
      <c r="AQ53" s="61">
        <f ca="1">SUM('AC-SVC'!F53)</f>
        <v>0</v>
      </c>
      <c r="AR53" s="61">
        <f ca="1">SUM('AC-SVC'!G53)</f>
        <v>0</v>
      </c>
      <c r="AS53" s="61">
        <f ca="1">SUM('AC-SVC'!H53)</f>
        <v>0</v>
      </c>
      <c r="AT53" s="61">
        <f ca="1">SUM(PT!E53)</f>
        <v>0</v>
      </c>
      <c r="AU53" s="61">
        <f ca="1">SUM(FC!F53)</f>
        <v>0</v>
      </c>
      <c r="AV53" s="61">
        <f ca="1">SUM(FN!H53)</f>
        <v>0</v>
      </c>
      <c r="AW53" s="61">
        <f ca="1">SUM(FS!F53)</f>
        <v>0</v>
      </c>
      <c r="AX53" s="61">
        <f ca="1">SUM(IT!F53)</f>
        <v>0</v>
      </c>
      <c r="AY53" s="87"/>
      <c r="AZ53" s="67">
        <f t="shared" ref="AZ53:AZ65" si="17">SUM(C53:H53)+SUM(AN53:AX53)</f>
        <v>88065</v>
      </c>
    </row>
    <row r="54" spans="1:52">
      <c r="A54" s="33" t="s">
        <v>231</v>
      </c>
      <c r="B54" s="33" t="s">
        <v>408</v>
      </c>
      <c r="C54" s="54"/>
      <c r="D54" s="54">
        <f t="shared" si="14"/>
        <v>0</v>
      </c>
      <c r="E54" s="71">
        <f t="shared" si="15"/>
        <v>0</v>
      </c>
      <c r="F54" s="71">
        <f t="shared" si="16"/>
        <v>0</v>
      </c>
      <c r="G54" s="54"/>
      <c r="H54" s="54"/>
      <c r="I54" s="78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74"/>
      <c r="AN54" s="61">
        <f ca="1">SUM('AC-SVC'!C54)</f>
        <v>0</v>
      </c>
      <c r="AO54" s="61">
        <f ca="1">SUM('AC-SVC'!D54)</f>
        <v>0</v>
      </c>
      <c r="AP54" s="61">
        <f ca="1">SUM('AC-SVC'!E54)</f>
        <v>0</v>
      </c>
      <c r="AQ54" s="61">
        <f ca="1">SUM('AC-SVC'!F54)</f>
        <v>0</v>
      </c>
      <c r="AR54" s="61">
        <f ca="1">SUM('AC-SVC'!G54)</f>
        <v>0</v>
      </c>
      <c r="AS54" s="61">
        <f ca="1">SUM('AC-SVC'!H54)</f>
        <v>0</v>
      </c>
      <c r="AT54" s="61">
        <f ca="1">SUM(PT!E54)</f>
        <v>0</v>
      </c>
      <c r="AU54" s="61">
        <f ca="1">SUM(FC!F54)</f>
        <v>0</v>
      </c>
      <c r="AV54" s="61">
        <f ca="1">SUM(FN!H54)</f>
        <v>0</v>
      </c>
      <c r="AW54" s="61">
        <f ca="1">SUM(FS!F54)</f>
        <v>0</v>
      </c>
      <c r="AX54" s="61">
        <f ca="1">SUM(IT!F54)</f>
        <v>0</v>
      </c>
      <c r="AY54" s="87"/>
      <c r="AZ54" s="67">
        <f t="shared" si="17"/>
        <v>0</v>
      </c>
    </row>
    <row r="55" spans="1:52">
      <c r="A55" s="33" t="s">
        <v>232</v>
      </c>
      <c r="B55" s="33" t="s">
        <v>409</v>
      </c>
      <c r="C55" s="54">
        <f>12000*0.6</f>
        <v>7200</v>
      </c>
      <c r="D55" s="54">
        <f t="shared" si="14"/>
        <v>0</v>
      </c>
      <c r="E55" s="71">
        <f t="shared" si="15"/>
        <v>0</v>
      </c>
      <c r="F55" s="71">
        <f t="shared" si="16"/>
        <v>0</v>
      </c>
      <c r="G55" s="54"/>
      <c r="H55" s="54"/>
      <c r="I55" s="78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74"/>
      <c r="AN55" s="61">
        <f ca="1">SUM('AC-SVC'!C55)</f>
        <v>0</v>
      </c>
      <c r="AO55" s="61">
        <f ca="1">SUM('AC-SVC'!D55)</f>
        <v>0</v>
      </c>
      <c r="AP55" s="61">
        <f ca="1">SUM('AC-SVC'!E55)</f>
        <v>0</v>
      </c>
      <c r="AQ55" s="61">
        <f ca="1">SUM('AC-SVC'!F55)</f>
        <v>0</v>
      </c>
      <c r="AR55" s="61">
        <f ca="1">SUM('AC-SVC'!G55)</f>
        <v>0</v>
      </c>
      <c r="AS55" s="61">
        <f ca="1">SUM('AC-SVC'!H55)</f>
        <v>0</v>
      </c>
      <c r="AT55" s="61">
        <f ca="1">SUM(PT!E55)</f>
        <v>0</v>
      </c>
      <c r="AU55" s="61">
        <f ca="1">SUM(FC!F55)</f>
        <v>0</v>
      </c>
      <c r="AV55" s="61">
        <f ca="1">SUM(FN!H55)</f>
        <v>0</v>
      </c>
      <c r="AW55" s="61">
        <f ca="1">SUM(FS!F55)</f>
        <v>0</v>
      </c>
      <c r="AX55" s="61">
        <f ca="1">SUM(IT!F55)</f>
        <v>0</v>
      </c>
      <c r="AY55" s="87"/>
      <c r="AZ55" s="67">
        <f t="shared" si="17"/>
        <v>7200</v>
      </c>
    </row>
    <row r="56" spans="1:52">
      <c r="A56" s="33" t="s">
        <v>233</v>
      </c>
      <c r="B56" s="33" t="s">
        <v>305</v>
      </c>
      <c r="C56" s="54"/>
      <c r="D56" s="54">
        <f t="shared" si="14"/>
        <v>0</v>
      </c>
      <c r="E56" s="71">
        <f t="shared" si="15"/>
        <v>0</v>
      </c>
      <c r="F56" s="71">
        <f t="shared" si="16"/>
        <v>0</v>
      </c>
      <c r="G56" s="54"/>
      <c r="H56" s="54"/>
      <c r="I56" s="78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74"/>
      <c r="AN56" s="61">
        <f ca="1">SUM('AC-SVC'!C56)</f>
        <v>0</v>
      </c>
      <c r="AO56" s="61">
        <f ca="1">SUM('AC-SVC'!D56)</f>
        <v>0</v>
      </c>
      <c r="AP56" s="61">
        <f ca="1">SUM('AC-SVC'!E56)</f>
        <v>0</v>
      </c>
      <c r="AQ56" s="61">
        <f ca="1">SUM('AC-SVC'!F56)</f>
        <v>0</v>
      </c>
      <c r="AR56" s="61">
        <f ca="1">SUM('AC-SVC'!G56)</f>
        <v>0</v>
      </c>
      <c r="AS56" s="61">
        <f ca="1">SUM('AC-SVC'!H56)</f>
        <v>0</v>
      </c>
      <c r="AT56" s="61">
        <f ca="1">SUM(PT!E56)</f>
        <v>0</v>
      </c>
      <c r="AU56" s="61">
        <f ca="1">SUM(FC!F56)</f>
        <v>0</v>
      </c>
      <c r="AV56" s="61">
        <f ca="1">SUM(FN!H56)</f>
        <v>0</v>
      </c>
      <c r="AW56" s="61">
        <f ca="1">SUM(FS!F56)</f>
        <v>0</v>
      </c>
      <c r="AX56" s="61">
        <f ca="1">SUM(IT!F56)</f>
        <v>0</v>
      </c>
      <c r="AY56" s="87"/>
      <c r="AZ56" s="67">
        <f t="shared" si="17"/>
        <v>0</v>
      </c>
    </row>
    <row r="57" spans="1:52">
      <c r="A57" s="33" t="s">
        <v>234</v>
      </c>
      <c r="B57" s="33" t="s">
        <v>306</v>
      </c>
      <c r="C57" s="54"/>
      <c r="D57" s="54">
        <f t="shared" si="14"/>
        <v>0</v>
      </c>
      <c r="E57" s="71">
        <f t="shared" si="15"/>
        <v>0</v>
      </c>
      <c r="F57" s="71">
        <f t="shared" si="16"/>
        <v>0</v>
      </c>
      <c r="G57" s="54"/>
      <c r="H57" s="54"/>
      <c r="I57" s="78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74"/>
      <c r="AN57" s="61">
        <f ca="1">SUM('AC-SVC'!C57)</f>
        <v>0</v>
      </c>
      <c r="AO57" s="61">
        <f ca="1">SUM('AC-SVC'!D57)</f>
        <v>0</v>
      </c>
      <c r="AP57" s="61">
        <f ca="1">SUM('AC-SVC'!E57)</f>
        <v>0</v>
      </c>
      <c r="AQ57" s="61">
        <f ca="1">SUM('AC-SVC'!F57)</f>
        <v>0</v>
      </c>
      <c r="AR57" s="61">
        <f ca="1">SUM('AC-SVC'!G57)</f>
        <v>0</v>
      </c>
      <c r="AS57" s="61">
        <f ca="1">SUM('AC-SVC'!H57)</f>
        <v>0</v>
      </c>
      <c r="AT57" s="61">
        <f ca="1">SUM(PT!E57)</f>
        <v>0</v>
      </c>
      <c r="AU57" s="61">
        <f ca="1">SUM(FC!F57)</f>
        <v>0</v>
      </c>
      <c r="AV57" s="61">
        <f ca="1">SUM(FN!H57)</f>
        <v>0</v>
      </c>
      <c r="AW57" s="61">
        <f ca="1">SUM(FS!F57)</f>
        <v>100363.2</v>
      </c>
      <c r="AX57" s="61">
        <f ca="1">SUM(IT!F57)</f>
        <v>0</v>
      </c>
      <c r="AY57" s="87"/>
      <c r="AZ57" s="67">
        <f t="shared" si="17"/>
        <v>100363.2</v>
      </c>
    </row>
    <row r="58" spans="1:52">
      <c r="A58" s="33" t="s">
        <v>0</v>
      </c>
      <c r="B58" s="33" t="s">
        <v>307</v>
      </c>
      <c r="C58" s="54"/>
      <c r="D58" s="54">
        <f t="shared" si="14"/>
        <v>0</v>
      </c>
      <c r="E58" s="71">
        <f t="shared" si="15"/>
        <v>0</v>
      </c>
      <c r="F58" s="71">
        <f t="shared" si="16"/>
        <v>0</v>
      </c>
      <c r="G58" s="54"/>
      <c r="H58" s="54"/>
      <c r="I58" s="78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74"/>
      <c r="AN58" s="61">
        <f ca="1">SUM('AC-SVC'!C58)</f>
        <v>0</v>
      </c>
      <c r="AO58" s="61">
        <f ca="1">SUM('AC-SVC'!D58)</f>
        <v>0</v>
      </c>
      <c r="AP58" s="61">
        <f ca="1">SUM('AC-SVC'!E58)</f>
        <v>0</v>
      </c>
      <c r="AQ58" s="61">
        <f ca="1">SUM('AC-SVC'!F58)</f>
        <v>0</v>
      </c>
      <c r="AR58" s="61">
        <f ca="1">SUM('AC-SVC'!G58)</f>
        <v>0</v>
      </c>
      <c r="AS58" s="61">
        <f ca="1">SUM('AC-SVC'!H58)</f>
        <v>0</v>
      </c>
      <c r="AT58" s="61">
        <f ca="1">SUM(PT!E58)</f>
        <v>0</v>
      </c>
      <c r="AU58" s="61">
        <f ca="1">SUM(FC!F58)</f>
        <v>0</v>
      </c>
      <c r="AV58" s="61">
        <f ca="1">SUM(FN!H58)</f>
        <v>0</v>
      </c>
      <c r="AW58" s="61">
        <f ca="1">SUM(FS!F58)</f>
        <v>0</v>
      </c>
      <c r="AX58" s="61">
        <f ca="1">SUM(IT!F58)</f>
        <v>18047.694</v>
      </c>
      <c r="AY58" s="87"/>
      <c r="AZ58" s="67">
        <f t="shared" si="17"/>
        <v>18047.694</v>
      </c>
    </row>
    <row r="59" spans="1:52">
      <c r="A59" s="33" t="s">
        <v>1</v>
      </c>
      <c r="B59" s="33" t="s">
        <v>308</v>
      </c>
      <c r="C59" s="54"/>
      <c r="D59" s="54">
        <f t="shared" si="14"/>
        <v>0</v>
      </c>
      <c r="E59" s="71">
        <f t="shared" si="15"/>
        <v>0</v>
      </c>
      <c r="F59" s="71">
        <f t="shared" si="16"/>
        <v>0</v>
      </c>
      <c r="G59" s="54"/>
      <c r="H59" s="54"/>
      <c r="I59" s="78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74"/>
      <c r="AN59" s="61">
        <f ca="1">SUM('AC-SVC'!C59)</f>
        <v>0</v>
      </c>
      <c r="AO59" s="61">
        <f ca="1">SUM('AC-SVC'!D59)</f>
        <v>0</v>
      </c>
      <c r="AP59" s="61">
        <f ca="1">SUM('AC-SVC'!E59)</f>
        <v>0</v>
      </c>
      <c r="AQ59" s="61">
        <f ca="1">SUM('AC-SVC'!F59)</f>
        <v>0</v>
      </c>
      <c r="AR59" s="61">
        <f ca="1">SUM('AC-SVC'!G59)</f>
        <v>0</v>
      </c>
      <c r="AS59" s="61">
        <f ca="1">SUM('AC-SVC'!H59)</f>
        <v>0</v>
      </c>
      <c r="AT59" s="61">
        <f ca="1">SUM(PT!E59)</f>
        <v>0</v>
      </c>
      <c r="AU59" s="61">
        <f ca="1">SUM(FC!F59)</f>
        <v>0</v>
      </c>
      <c r="AV59" s="61">
        <f ca="1">SUM(FN!H59)</f>
        <v>0</v>
      </c>
      <c r="AW59" s="61">
        <f ca="1">SUM(FS!F59)</f>
        <v>0</v>
      </c>
      <c r="AX59" s="61">
        <f ca="1">SUM(IT!F59)</f>
        <v>0</v>
      </c>
      <c r="AY59" s="87"/>
      <c r="AZ59" s="67">
        <f t="shared" si="17"/>
        <v>0</v>
      </c>
    </row>
    <row r="60" spans="1:52">
      <c r="A60" s="33" t="s">
        <v>3</v>
      </c>
      <c r="B60" s="33" t="s">
        <v>2</v>
      </c>
      <c r="C60" s="54"/>
      <c r="D60" s="54">
        <f t="shared" si="14"/>
        <v>0</v>
      </c>
      <c r="E60" s="71">
        <f t="shared" si="15"/>
        <v>0</v>
      </c>
      <c r="F60" s="71">
        <f t="shared" si="16"/>
        <v>0</v>
      </c>
      <c r="G60" s="54"/>
      <c r="H60" s="54"/>
      <c r="I60" s="78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74"/>
      <c r="AN60" s="61">
        <f ca="1">SUM('AC-SVC'!C60)</f>
        <v>0</v>
      </c>
      <c r="AO60" s="61">
        <f ca="1">SUM('AC-SVC'!D60)</f>
        <v>0</v>
      </c>
      <c r="AP60" s="61">
        <f ca="1">SUM('AC-SVC'!E60)</f>
        <v>0</v>
      </c>
      <c r="AQ60" s="61">
        <f ca="1">SUM('AC-SVC'!F60)</f>
        <v>0</v>
      </c>
      <c r="AR60" s="61">
        <f ca="1">SUM('AC-SVC'!G60)</f>
        <v>0</v>
      </c>
      <c r="AS60" s="61">
        <f ca="1">SUM('AC-SVC'!H60)</f>
        <v>0</v>
      </c>
      <c r="AT60" s="61">
        <f ca="1">SUM(PT!E60)</f>
        <v>0</v>
      </c>
      <c r="AU60" s="61">
        <f ca="1">SUM(FC!F60)</f>
        <v>0</v>
      </c>
      <c r="AV60" s="61">
        <f ca="1">SUM(FN!H60)</f>
        <v>0</v>
      </c>
      <c r="AW60" s="61">
        <f ca="1">SUM(FS!F60)</f>
        <v>0</v>
      </c>
      <c r="AX60" s="61">
        <f ca="1">SUM(IT!F60)</f>
        <v>0</v>
      </c>
      <c r="AY60" s="87"/>
      <c r="AZ60" s="67">
        <f t="shared" si="17"/>
        <v>0</v>
      </c>
    </row>
    <row r="61" spans="1:52">
      <c r="A61" s="33" t="s">
        <v>4</v>
      </c>
      <c r="B61" s="33" t="s">
        <v>5</v>
      </c>
      <c r="C61" s="54"/>
      <c r="D61" s="54">
        <f t="shared" si="14"/>
        <v>0</v>
      </c>
      <c r="E61" s="71">
        <f t="shared" si="15"/>
        <v>0</v>
      </c>
      <c r="F61" s="71">
        <f t="shared" si="16"/>
        <v>0</v>
      </c>
      <c r="G61" s="54"/>
      <c r="H61" s="54"/>
      <c r="I61" s="78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74"/>
      <c r="AN61" s="61">
        <f ca="1">SUM('AC-SVC'!C61)</f>
        <v>0</v>
      </c>
      <c r="AO61" s="61">
        <f ca="1">SUM('AC-SVC'!D61)*AO7</f>
        <v>62500</v>
      </c>
      <c r="AP61" s="61">
        <f ca="1">SUM('AC-SVC'!E61)</f>
        <v>0</v>
      </c>
      <c r="AQ61" s="61">
        <f ca="1">SUM('AC-SVC'!F61)</f>
        <v>0</v>
      </c>
      <c r="AR61" s="61">
        <f ca="1">SUM('AC-SVC'!G61)</f>
        <v>0</v>
      </c>
      <c r="AS61" s="61">
        <f ca="1">SUM('AC-SVC'!H61)</f>
        <v>0</v>
      </c>
      <c r="AT61" s="61">
        <f ca="1">SUM(PT!E61)</f>
        <v>0</v>
      </c>
      <c r="AU61" s="61">
        <f ca="1">SUM(FC!F61)</f>
        <v>0</v>
      </c>
      <c r="AV61" s="61">
        <f ca="1">SUM(FN!H61)</f>
        <v>0</v>
      </c>
      <c r="AW61" s="61">
        <f ca="1">SUM(FS!F61)</f>
        <v>0</v>
      </c>
      <c r="AX61" s="61">
        <f ca="1">SUM(IT!F61)</f>
        <v>0</v>
      </c>
      <c r="AY61" s="87"/>
      <c r="AZ61" s="67">
        <f t="shared" si="17"/>
        <v>62500</v>
      </c>
    </row>
    <row r="62" spans="1:52">
      <c r="A62" s="33" t="s">
        <v>6</v>
      </c>
      <c r="B62" s="33" t="s">
        <v>7</v>
      </c>
      <c r="C62" s="54"/>
      <c r="D62" s="54">
        <f t="shared" si="14"/>
        <v>0</v>
      </c>
      <c r="E62" s="71">
        <f t="shared" si="15"/>
        <v>0</v>
      </c>
      <c r="F62" s="71">
        <f t="shared" si="16"/>
        <v>0</v>
      </c>
      <c r="G62" s="54"/>
      <c r="H62" s="54"/>
      <c r="I62" s="78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74"/>
      <c r="AN62" s="61">
        <f ca="1">SUM('AC-SVC'!C62)</f>
        <v>0</v>
      </c>
      <c r="AO62" s="61">
        <f ca="1">SUM('AC-SVC'!D62)</f>
        <v>0</v>
      </c>
      <c r="AP62" s="61">
        <f ca="1">SUM('AC-SVC'!E62)</f>
        <v>0</v>
      </c>
      <c r="AQ62" s="61">
        <f ca="1">SUM('AC-SVC'!F62)</f>
        <v>0</v>
      </c>
      <c r="AR62" s="61">
        <f ca="1">SUM('AC-SVC'!G62)</f>
        <v>0</v>
      </c>
      <c r="AS62" s="61">
        <f ca="1">SUM('AC-SVC'!H62)</f>
        <v>0</v>
      </c>
      <c r="AT62" s="61">
        <f ca="1">SUM(PT!E62)</f>
        <v>0</v>
      </c>
      <c r="AU62" s="61">
        <f ca="1">SUM(FC!F62)</f>
        <v>0</v>
      </c>
      <c r="AV62" s="61">
        <f ca="1">SUM(FN!H62)</f>
        <v>0</v>
      </c>
      <c r="AW62" s="61">
        <f ca="1">SUM(FS!F62)</f>
        <v>0</v>
      </c>
      <c r="AX62" s="61">
        <f ca="1">SUM(IT!F62)</f>
        <v>0</v>
      </c>
      <c r="AY62" s="87"/>
      <c r="AZ62" s="67">
        <f t="shared" si="17"/>
        <v>0</v>
      </c>
    </row>
    <row r="63" spans="1:52">
      <c r="A63" s="33" t="s">
        <v>8</v>
      </c>
      <c r="B63" s="33" t="s">
        <v>9</v>
      </c>
      <c r="C63" s="54"/>
      <c r="D63" s="54">
        <f t="shared" si="14"/>
        <v>0</v>
      </c>
      <c r="E63" s="71">
        <f t="shared" si="15"/>
        <v>0</v>
      </c>
      <c r="F63" s="71">
        <f t="shared" si="16"/>
        <v>0</v>
      </c>
      <c r="G63" s="54"/>
      <c r="H63" s="54"/>
      <c r="I63" s="78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74"/>
      <c r="AN63" s="61">
        <f ca="1">SUM('AC-SVC'!C63)</f>
        <v>0</v>
      </c>
      <c r="AO63" s="61">
        <f ca="1">SUM('AC-SVC'!D63)</f>
        <v>0</v>
      </c>
      <c r="AP63" s="61">
        <f ca="1">SUM('AC-SVC'!E63)</f>
        <v>0</v>
      </c>
      <c r="AQ63" s="61">
        <f ca="1">SUM('AC-SVC'!F63)</f>
        <v>0</v>
      </c>
      <c r="AR63" s="61">
        <f ca="1">SUM('AC-SVC'!G63)</f>
        <v>0</v>
      </c>
      <c r="AS63" s="61">
        <f ca="1">SUM('AC-SVC'!H63)</f>
        <v>0</v>
      </c>
      <c r="AT63" s="61">
        <f ca="1">SUM(PT!E63)</f>
        <v>0</v>
      </c>
      <c r="AU63" s="61">
        <f ca="1">SUM(FC!F63)</f>
        <v>0</v>
      </c>
      <c r="AV63" s="61">
        <f ca="1">SUM(FN!H63)</f>
        <v>0</v>
      </c>
      <c r="AW63" s="61">
        <f ca="1">SUM(FS!F63)</f>
        <v>0</v>
      </c>
      <c r="AX63" s="61">
        <f ca="1">SUM(IT!F63)</f>
        <v>0</v>
      </c>
      <c r="AY63" s="87"/>
      <c r="AZ63" s="67">
        <f t="shared" si="17"/>
        <v>0</v>
      </c>
    </row>
    <row r="64" spans="1:52">
      <c r="A64" s="33" t="s">
        <v>11</v>
      </c>
      <c r="B64" s="33" t="s">
        <v>310</v>
      </c>
      <c r="C64" s="54"/>
      <c r="D64" s="54">
        <f t="shared" si="14"/>
        <v>0</v>
      </c>
      <c r="E64" s="71">
        <f t="shared" si="15"/>
        <v>0</v>
      </c>
      <c r="F64" s="71">
        <f t="shared" si="16"/>
        <v>0</v>
      </c>
      <c r="G64" s="54"/>
      <c r="H64" s="54"/>
      <c r="I64" s="78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74"/>
      <c r="AN64" s="61">
        <f ca="1">SUM('AC-SVC'!C64)</f>
        <v>0</v>
      </c>
      <c r="AO64" s="61">
        <f ca="1">SUM('AC-SVC'!D64)</f>
        <v>0</v>
      </c>
      <c r="AP64" s="61">
        <f ca="1">SUM('AC-SVC'!E64)</f>
        <v>0</v>
      </c>
      <c r="AQ64" s="61">
        <f ca="1">SUM('AC-SVC'!F64)</f>
        <v>0</v>
      </c>
      <c r="AR64" s="61">
        <f ca="1">SUM('AC-SVC'!G64)</f>
        <v>0</v>
      </c>
      <c r="AS64" s="61">
        <f ca="1">SUM('AC-SVC'!H64)</f>
        <v>0</v>
      </c>
      <c r="AT64" s="61">
        <f ca="1">SUM(PT!E64)</f>
        <v>0</v>
      </c>
      <c r="AU64" s="61">
        <f ca="1">SUM(FC!F64)</f>
        <v>0</v>
      </c>
      <c r="AV64" s="61">
        <f ca="1">SUM(FN!H64)</f>
        <v>0</v>
      </c>
      <c r="AW64" s="61">
        <f ca="1">SUM(FS!F64)</f>
        <v>0</v>
      </c>
      <c r="AX64" s="61">
        <f ca="1">SUM(IT!F64)</f>
        <v>0</v>
      </c>
      <c r="AY64" s="87"/>
      <c r="AZ64" s="67">
        <f t="shared" si="17"/>
        <v>0</v>
      </c>
    </row>
    <row r="65" spans="1:52">
      <c r="A65" s="33" t="s">
        <v>10</v>
      </c>
      <c r="B65" s="33" t="s">
        <v>309</v>
      </c>
      <c r="C65" s="55"/>
      <c r="D65" s="55">
        <f t="shared" si="14"/>
        <v>0</v>
      </c>
      <c r="E65" s="55">
        <f t="shared" si="15"/>
        <v>0</v>
      </c>
      <c r="F65" s="55">
        <f t="shared" si="16"/>
        <v>0</v>
      </c>
      <c r="G65" s="55"/>
      <c r="H65" s="55"/>
      <c r="I65" s="80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74"/>
      <c r="AN65" s="40">
        <f ca="1">SUM('AC-SVC'!C65)</f>
        <v>0</v>
      </c>
      <c r="AO65" s="40">
        <f ca="1">SUM('AC-SVC'!D65)</f>
        <v>0</v>
      </c>
      <c r="AP65" s="40">
        <f ca="1">SUM('AC-SVC'!E65)</f>
        <v>0</v>
      </c>
      <c r="AQ65" s="40">
        <f ca="1">SUM('AC-SVC'!F65)</f>
        <v>0</v>
      </c>
      <c r="AR65" s="40">
        <f ca="1">SUM('AC-SVC'!G65)</f>
        <v>0</v>
      </c>
      <c r="AS65" s="40">
        <f ca="1">SUM('AC-SVC'!H65)</f>
        <v>0</v>
      </c>
      <c r="AT65" s="40">
        <f ca="1">SUM(PT!E65)</f>
        <v>0</v>
      </c>
      <c r="AU65" s="40">
        <f ca="1">SUM(FC!F65)</f>
        <v>0</v>
      </c>
      <c r="AV65" s="40">
        <f ca="1">SUM(FN!H65)</f>
        <v>0</v>
      </c>
      <c r="AW65" s="40">
        <f ca="1">SUM(FS!F65)</f>
        <v>0</v>
      </c>
      <c r="AX65" s="40">
        <f ca="1">SUM(IT!F65)</f>
        <v>0</v>
      </c>
      <c r="AY65" s="80"/>
      <c r="AZ65" s="66">
        <f t="shared" si="17"/>
        <v>0</v>
      </c>
    </row>
    <row r="66" spans="1:52">
      <c r="B66" s="33" t="s">
        <v>311</v>
      </c>
      <c r="C66" s="54">
        <f t="shared" ref="C66:H66" si="18">SUM(C53:C65)</f>
        <v>95265</v>
      </c>
      <c r="D66" s="54">
        <f t="shared" si="18"/>
        <v>0</v>
      </c>
      <c r="E66" s="54">
        <f t="shared" si="18"/>
        <v>0</v>
      </c>
      <c r="F66" s="54">
        <f t="shared" si="18"/>
        <v>0</v>
      </c>
      <c r="G66" s="54">
        <f t="shared" si="18"/>
        <v>0</v>
      </c>
      <c r="H66" s="54">
        <f t="shared" si="18"/>
        <v>0</v>
      </c>
      <c r="I66" s="78"/>
      <c r="J66" s="54">
        <f t="shared" ref="J66:AL66" si="19">SUM(J53:J65)</f>
        <v>0</v>
      </c>
      <c r="K66" s="54">
        <f t="shared" si="19"/>
        <v>0</v>
      </c>
      <c r="L66" s="54">
        <f t="shared" si="19"/>
        <v>0</v>
      </c>
      <c r="M66" s="54">
        <f t="shared" si="19"/>
        <v>0</v>
      </c>
      <c r="N66" s="54"/>
      <c r="O66" s="54">
        <f t="shared" si="19"/>
        <v>0</v>
      </c>
      <c r="P66" s="54">
        <f t="shared" si="19"/>
        <v>0</v>
      </c>
      <c r="Q66" s="54">
        <f t="shared" si="19"/>
        <v>0</v>
      </c>
      <c r="R66" s="54">
        <f t="shared" si="19"/>
        <v>0</v>
      </c>
      <c r="S66" s="54">
        <f t="shared" si="19"/>
        <v>0</v>
      </c>
      <c r="T66" s="54">
        <f t="shared" si="19"/>
        <v>0</v>
      </c>
      <c r="U66" s="54">
        <f t="shared" si="19"/>
        <v>0</v>
      </c>
      <c r="V66" s="54">
        <f t="shared" si="19"/>
        <v>0</v>
      </c>
      <c r="W66" s="54">
        <f t="shared" si="19"/>
        <v>0</v>
      </c>
      <c r="X66" s="54">
        <f t="shared" si="19"/>
        <v>0</v>
      </c>
      <c r="Y66" s="54">
        <f t="shared" si="19"/>
        <v>0</v>
      </c>
      <c r="Z66" s="54">
        <f t="shared" si="19"/>
        <v>0</v>
      </c>
      <c r="AA66" s="54">
        <f t="shared" si="19"/>
        <v>0</v>
      </c>
      <c r="AB66" s="54">
        <f t="shared" si="19"/>
        <v>0</v>
      </c>
      <c r="AC66" s="54">
        <f t="shared" si="19"/>
        <v>0</v>
      </c>
      <c r="AD66" s="54">
        <f t="shared" si="19"/>
        <v>0</v>
      </c>
      <c r="AE66" s="54">
        <f t="shared" si="19"/>
        <v>0</v>
      </c>
      <c r="AF66" s="54">
        <f t="shared" si="19"/>
        <v>0</v>
      </c>
      <c r="AG66" s="54">
        <f t="shared" si="19"/>
        <v>0</v>
      </c>
      <c r="AH66" s="54">
        <f t="shared" si="19"/>
        <v>0</v>
      </c>
      <c r="AI66" s="54">
        <f t="shared" si="19"/>
        <v>0</v>
      </c>
      <c r="AJ66" s="54">
        <f t="shared" si="19"/>
        <v>0</v>
      </c>
      <c r="AK66" s="54">
        <f>SUM(AK53:AK65)</f>
        <v>0</v>
      </c>
      <c r="AL66" s="54">
        <f t="shared" si="19"/>
        <v>0</v>
      </c>
      <c r="AM66" s="74"/>
      <c r="AN66" s="39">
        <f t="shared" ref="AN66:AX66" si="20">+SUM(AN53:AN65)</f>
        <v>0</v>
      </c>
      <c r="AO66" s="54">
        <f t="shared" si="20"/>
        <v>62500</v>
      </c>
      <c r="AP66" s="39">
        <f t="shared" si="20"/>
        <v>0</v>
      </c>
      <c r="AQ66" s="39">
        <f t="shared" si="20"/>
        <v>0</v>
      </c>
      <c r="AR66" s="39">
        <f t="shared" si="20"/>
        <v>0</v>
      </c>
      <c r="AS66" s="39">
        <f t="shared" si="20"/>
        <v>0</v>
      </c>
      <c r="AT66" s="39">
        <f t="shared" si="20"/>
        <v>0</v>
      </c>
      <c r="AU66" s="39">
        <f t="shared" si="20"/>
        <v>0</v>
      </c>
      <c r="AV66" s="39">
        <f t="shared" si="20"/>
        <v>0</v>
      </c>
      <c r="AW66" s="39">
        <f t="shared" si="20"/>
        <v>100363.2</v>
      </c>
      <c r="AX66" s="39">
        <f t="shared" si="20"/>
        <v>18047.694</v>
      </c>
      <c r="AY66" s="78"/>
      <c r="AZ66" s="57">
        <f>SUM(AZ53:AZ65)</f>
        <v>276175.89399999997</v>
      </c>
    </row>
    <row r="67" spans="1:52">
      <c r="C67" s="54"/>
      <c r="D67" s="54"/>
      <c r="E67" s="54"/>
      <c r="F67" s="54"/>
      <c r="G67" s="54"/>
      <c r="H67" s="54"/>
      <c r="I67" s="78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74"/>
      <c r="AN67" s="39"/>
      <c r="AO67" s="54"/>
      <c r="AP67" s="39"/>
      <c r="AQ67" s="39"/>
      <c r="AR67" s="39"/>
      <c r="AS67" s="39"/>
      <c r="AT67" s="39"/>
      <c r="AU67" s="39"/>
      <c r="AV67" s="39"/>
      <c r="AW67" s="39"/>
      <c r="AX67" s="39"/>
      <c r="AY67" s="78"/>
      <c r="AZ67" s="57"/>
    </row>
    <row r="68" spans="1:52" s="32" customFormat="1" ht="10.5">
      <c r="A68" s="37"/>
      <c r="B68" s="37" t="s">
        <v>312</v>
      </c>
      <c r="C68" s="57">
        <f t="shared" ref="C68:H68" si="21">SUM(C38+C49+C66)</f>
        <v>3261732</v>
      </c>
      <c r="D68" s="57">
        <f t="shared" si="21"/>
        <v>0</v>
      </c>
      <c r="E68" s="57">
        <f t="shared" si="21"/>
        <v>0</v>
      </c>
      <c r="F68" s="57">
        <f t="shared" si="21"/>
        <v>0</v>
      </c>
      <c r="G68" s="57">
        <f t="shared" si="21"/>
        <v>0</v>
      </c>
      <c r="H68" s="57">
        <f t="shared" si="21"/>
        <v>0</v>
      </c>
      <c r="I68" s="81"/>
      <c r="J68" s="57">
        <f t="shared" ref="J68:AL68" si="22">SUM(J38+J49+J66)</f>
        <v>0</v>
      </c>
      <c r="K68" s="57">
        <f t="shared" si="22"/>
        <v>0</v>
      </c>
      <c r="L68" s="57">
        <f t="shared" si="22"/>
        <v>0</v>
      </c>
      <c r="M68" s="57">
        <f t="shared" si="22"/>
        <v>0</v>
      </c>
      <c r="N68" s="57"/>
      <c r="O68" s="57">
        <f t="shared" si="22"/>
        <v>0</v>
      </c>
      <c r="P68" s="57">
        <f t="shared" si="22"/>
        <v>0</v>
      </c>
      <c r="Q68" s="57">
        <f t="shared" si="22"/>
        <v>0</v>
      </c>
      <c r="R68" s="57">
        <f t="shared" si="22"/>
        <v>0</v>
      </c>
      <c r="S68" s="57">
        <f t="shared" si="22"/>
        <v>0</v>
      </c>
      <c r="T68" s="57">
        <f t="shared" si="22"/>
        <v>0</v>
      </c>
      <c r="U68" s="57">
        <f t="shared" si="22"/>
        <v>0</v>
      </c>
      <c r="V68" s="57">
        <f t="shared" si="22"/>
        <v>0</v>
      </c>
      <c r="W68" s="57">
        <f t="shared" si="22"/>
        <v>0</v>
      </c>
      <c r="X68" s="57">
        <f t="shared" si="22"/>
        <v>0</v>
      </c>
      <c r="Y68" s="57">
        <f t="shared" si="22"/>
        <v>0</v>
      </c>
      <c r="Z68" s="57">
        <f t="shared" si="22"/>
        <v>0</v>
      </c>
      <c r="AA68" s="57">
        <f t="shared" si="22"/>
        <v>0</v>
      </c>
      <c r="AB68" s="57">
        <f t="shared" si="22"/>
        <v>0</v>
      </c>
      <c r="AC68" s="57">
        <f t="shared" si="22"/>
        <v>0</v>
      </c>
      <c r="AD68" s="57">
        <f t="shared" si="22"/>
        <v>0</v>
      </c>
      <c r="AE68" s="57">
        <f t="shared" si="22"/>
        <v>0</v>
      </c>
      <c r="AF68" s="57">
        <f t="shared" si="22"/>
        <v>0</v>
      </c>
      <c r="AG68" s="57">
        <f t="shared" si="22"/>
        <v>0</v>
      </c>
      <c r="AH68" s="57">
        <f t="shared" si="22"/>
        <v>0</v>
      </c>
      <c r="AI68" s="57">
        <f t="shared" si="22"/>
        <v>0</v>
      </c>
      <c r="AJ68" s="57">
        <f t="shared" si="22"/>
        <v>0</v>
      </c>
      <c r="AK68" s="57">
        <f>SUM(AK38+AK49+AK66)</f>
        <v>0</v>
      </c>
      <c r="AL68" s="57">
        <f t="shared" si="22"/>
        <v>0</v>
      </c>
      <c r="AM68" s="77"/>
      <c r="AN68" s="41">
        <f t="shared" ref="AN68:AS68" si="23">+AN66+AN49+AN38</f>
        <v>0</v>
      </c>
      <c r="AO68" s="57">
        <f t="shared" si="23"/>
        <v>62500</v>
      </c>
      <c r="AP68" s="41">
        <f t="shared" si="23"/>
        <v>0</v>
      </c>
      <c r="AQ68" s="41">
        <f t="shared" si="23"/>
        <v>0</v>
      </c>
      <c r="AR68" s="41">
        <f t="shared" si="23"/>
        <v>800</v>
      </c>
      <c r="AS68" s="41">
        <f t="shared" si="23"/>
        <v>0</v>
      </c>
      <c r="AT68" s="41">
        <f>+AT38+AT49+AT66</f>
        <v>33750</v>
      </c>
      <c r="AU68" s="41">
        <f>+AU38+AU49+AU66</f>
        <v>0</v>
      </c>
      <c r="AV68" s="41">
        <f>+AV66+AV49+AV38</f>
        <v>0</v>
      </c>
      <c r="AW68" s="41">
        <f>+AW66+AW49+AW38</f>
        <v>149803.20000000001</v>
      </c>
      <c r="AX68" s="41">
        <f>+AX66+AX49+AX38</f>
        <v>18047.694</v>
      </c>
      <c r="AY68" s="81"/>
      <c r="AZ68" s="41">
        <f>+AZ66+AZ49+AZ38</f>
        <v>3526632.8939999999</v>
      </c>
    </row>
    <row r="69" spans="1:52">
      <c r="C69" s="54"/>
      <c r="D69" s="54"/>
      <c r="E69" s="54"/>
      <c r="F69" s="54"/>
      <c r="G69" s="54"/>
      <c r="H69" s="54"/>
      <c r="I69" s="78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74"/>
      <c r="AN69" s="39"/>
      <c r="AO69" s="54"/>
      <c r="AP69" s="39"/>
      <c r="AQ69" s="39"/>
      <c r="AR69" s="39"/>
      <c r="AS69" s="39"/>
      <c r="AT69" s="39"/>
      <c r="AU69" s="39"/>
      <c r="AV69" s="39"/>
      <c r="AW69" s="39"/>
      <c r="AX69" s="39"/>
      <c r="AY69" s="78"/>
      <c r="AZ69" s="57"/>
    </row>
    <row r="70" spans="1:52">
      <c r="A70" s="33" t="s">
        <v>313</v>
      </c>
      <c r="C70" s="54"/>
      <c r="D70" s="54"/>
      <c r="E70" s="54"/>
      <c r="F70" s="54"/>
      <c r="G70" s="54"/>
      <c r="H70" s="54"/>
      <c r="I70" s="78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74"/>
      <c r="AN70" s="39"/>
      <c r="AO70" s="54"/>
      <c r="AP70" s="39"/>
      <c r="AQ70" s="39"/>
      <c r="AR70" s="39"/>
      <c r="AS70" s="39"/>
      <c r="AT70" s="39"/>
      <c r="AU70" s="39"/>
      <c r="AV70" s="39"/>
      <c r="AW70" s="39"/>
      <c r="AX70" s="39"/>
      <c r="AY70" s="78"/>
      <c r="AZ70" s="57"/>
    </row>
    <row r="71" spans="1:52">
      <c r="A71" s="33" t="s">
        <v>314</v>
      </c>
      <c r="C71" s="54"/>
      <c r="D71" s="54"/>
      <c r="E71" s="54"/>
      <c r="F71" s="54"/>
      <c r="G71" s="54"/>
      <c r="H71" s="54"/>
      <c r="I71" s="78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74"/>
      <c r="AN71" s="39"/>
      <c r="AO71" s="54"/>
      <c r="AP71" s="39"/>
      <c r="AQ71" s="39"/>
      <c r="AR71" s="39"/>
      <c r="AS71" s="39"/>
      <c r="AT71" s="39"/>
      <c r="AU71" s="39"/>
      <c r="AV71" s="39"/>
      <c r="AW71" s="39"/>
      <c r="AX71" s="39"/>
      <c r="AY71" s="78"/>
      <c r="AZ71" s="57"/>
    </row>
    <row r="72" spans="1:52">
      <c r="A72" s="33" t="s">
        <v>19</v>
      </c>
      <c r="B72" s="33" t="s">
        <v>323</v>
      </c>
      <c r="C72" s="54"/>
      <c r="D72" s="54">
        <f t="shared" ref="D72:D79" si="24">SUM(J72:M72)</f>
        <v>0</v>
      </c>
      <c r="E72" s="71">
        <f t="shared" ref="E72:E79" si="25">SUM(O72:AG72)</f>
        <v>0</v>
      </c>
      <c r="F72" s="71">
        <f t="shared" ref="F72:F79" si="26">SUM(AH72:AL72)</f>
        <v>0</v>
      </c>
      <c r="G72" s="54">
        <f ca="1">SUM('12-2013 Ret Emp'!I85)</f>
        <v>80247.438797516108</v>
      </c>
      <c r="H72" s="54">
        <f ca="1">SUM('12-2013 Ret Emp'!I86)</f>
        <v>58966.639832196677</v>
      </c>
      <c r="I72" s="78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74"/>
      <c r="AN72" s="61">
        <f ca="1">SUM('AC-SVC'!C72)*AN7</f>
        <v>13490.707155629145</v>
      </c>
      <c r="AO72" s="61">
        <f ca="1">SUM('AC-SVC'!D72)</f>
        <v>0</v>
      </c>
      <c r="AP72" s="61">
        <f ca="1">SUM('AC-SVC'!E72)</f>
        <v>0</v>
      </c>
      <c r="AQ72" s="61">
        <f ca="1">SUM('AC-SVC'!F72)</f>
        <v>0</v>
      </c>
      <c r="AR72" s="61">
        <f ca="1">SUM('AC-SVC'!G72)</f>
        <v>0</v>
      </c>
      <c r="AS72" s="61">
        <f ca="1">SUM('AC-SVC'!H72)*AS7</f>
        <v>13750</v>
      </c>
      <c r="AT72" s="61">
        <f ca="1">SUM(PT!E72)</f>
        <v>0</v>
      </c>
      <c r="AU72" s="61">
        <f ca="1">SUM(FC!F72)</f>
        <v>0</v>
      </c>
      <c r="AV72" s="61">
        <f ca="1">SUM(FN!H72)</f>
        <v>0</v>
      </c>
      <c r="AW72" s="61">
        <f ca="1">SUM(FS!F72)</f>
        <v>0</v>
      </c>
      <c r="AX72" s="61">
        <f ca="1">SUM(IT!F72)</f>
        <v>0</v>
      </c>
      <c r="AY72" s="87"/>
      <c r="AZ72" s="67">
        <f t="shared" ref="AZ72:AZ79" si="27">SUM(C72:H72)+SUM(AN72:AX72)</f>
        <v>166454.78578534193</v>
      </c>
    </row>
    <row r="73" spans="1:52">
      <c r="A73" s="33" t="s">
        <v>12</v>
      </c>
      <c r="B73" s="33" t="s">
        <v>315</v>
      </c>
      <c r="C73" s="54"/>
      <c r="D73" s="54">
        <f t="shared" si="24"/>
        <v>206827.61343749997</v>
      </c>
      <c r="E73" s="71">
        <f t="shared" si="25"/>
        <v>362668.42631249991</v>
      </c>
      <c r="F73" s="71">
        <f t="shared" si="26"/>
        <v>206827.61343749997</v>
      </c>
      <c r="G73" s="54"/>
      <c r="H73" s="54"/>
      <c r="I73" s="78"/>
      <c r="J73" s="54">
        <f ca="1">+'AC-SCH'!$D42</f>
        <v>41365.522687499993</v>
      </c>
      <c r="K73" s="54">
        <f ca="1">+'AC-SCH'!$D42</f>
        <v>41365.522687499993</v>
      </c>
      <c r="L73" s="54">
        <f ca="1">+'AC-SCH'!$D42*L7*0.5</f>
        <v>41365.522687499993</v>
      </c>
      <c r="M73" s="54">
        <f ca="1">+'AC-SCH'!$D42*M7</f>
        <v>82731.045374999987</v>
      </c>
      <c r="N73" s="54"/>
      <c r="O73" s="54">
        <f ca="1">+'AC-SCH'!$D42</f>
        <v>41365.522687499993</v>
      </c>
      <c r="P73" s="54">
        <f ca="1">+'AC-SCH'!$D42</f>
        <v>41365.522687499993</v>
      </c>
      <c r="Q73" s="54">
        <f ca="1">+'AC-SCH'!$D42*0</f>
        <v>0</v>
      </c>
      <c r="R73" s="54">
        <f ca="1">+'AC-SCH'!$D42</f>
        <v>41365.522687499993</v>
      </c>
      <c r="S73" s="54">
        <f ca="1">+'AC-SCH'!$D42*0</f>
        <v>0</v>
      </c>
      <c r="T73" s="54">
        <f ca="1">+'AC-SCH'!$D42*0</f>
        <v>0</v>
      </c>
      <c r="U73" s="54">
        <f ca="1">+'AC-SCH'!$D42*U7</f>
        <v>20682.761343749997</v>
      </c>
      <c r="V73" s="54">
        <f ca="1">+'AC-SCH'!$D42</f>
        <v>41365.522687499993</v>
      </c>
      <c r="W73" s="54">
        <f ca="1">+'AC-SCH'!$D42*0</f>
        <v>0</v>
      </c>
      <c r="X73" s="54">
        <f ca="1">+'AC-SCH'!$D42*X7</f>
        <v>20682.761343749997</v>
      </c>
      <c r="Y73" s="54">
        <f ca="1">+'AC-SCH'!$D42*0.5</f>
        <v>20682.761343749997</v>
      </c>
      <c r="Z73" s="54">
        <f ca="1">+'AC-SCH'!$D42*Z7</f>
        <v>0</v>
      </c>
      <c r="AA73" s="54">
        <f ca="1">+'AC-SCH'!$D42*0.5</f>
        <v>20682.761343749997</v>
      </c>
      <c r="AB73" s="54">
        <f ca="1">+'AC-SCH'!$D42*AB7</f>
        <v>0</v>
      </c>
      <c r="AC73" s="54">
        <f ca="1">SUM('12-2013 Ret Emp'!I83)</f>
        <v>32753.16</v>
      </c>
      <c r="AD73" s="54">
        <f ca="1">SUM('12-2013 Ret Emp'!I84)</f>
        <v>40356.607499999998</v>
      </c>
      <c r="AE73" s="54">
        <f ca="1">+'AC-SCH'!$D42*AE7</f>
        <v>41365.522687499993</v>
      </c>
      <c r="AF73" s="54">
        <f ca="1">SUM('AC-SCH'!D177)*AF7</f>
        <v>0</v>
      </c>
      <c r="AG73" s="54">
        <f ca="1">+'AC-SCH'!$D42*AG7</f>
        <v>0</v>
      </c>
      <c r="AH73" s="54">
        <f ca="1">+'AC-SCH'!$D42*AH7</f>
        <v>41365.522687499993</v>
      </c>
      <c r="AI73" s="54">
        <f ca="1">+'AC-SCH'!$D42*AI7</f>
        <v>41365.522687499993</v>
      </c>
      <c r="AJ73" s="54">
        <f ca="1">+'AC-SCH'!$D42*AJ7</f>
        <v>41365.522687499993</v>
      </c>
      <c r="AK73" s="54">
        <f ca="1">+'AC-SCH'!$D42*AK7</f>
        <v>41365.522687499993</v>
      </c>
      <c r="AL73" s="54">
        <f ca="1">+'AC-SCH'!$D42*AL7</f>
        <v>41365.522687499993</v>
      </c>
      <c r="AM73" s="74"/>
      <c r="AN73" s="61">
        <f ca="1">SUM('AC-SVC'!C73)*AN7</f>
        <v>2500</v>
      </c>
      <c r="AO73" s="61">
        <f ca="1">SUM('AC-SVC'!D73)</f>
        <v>0</v>
      </c>
      <c r="AP73" s="61">
        <f ca="1">SUM('AC-SVC'!E73)</f>
        <v>0</v>
      </c>
      <c r="AQ73" s="61">
        <f ca="1">SUM('AC-SVC'!F73)</f>
        <v>0</v>
      </c>
      <c r="AR73" s="61">
        <f ca="1">SUM('AC-SVC'!G73)/2*AR7</f>
        <v>20276.734500000002</v>
      </c>
      <c r="AS73" s="61">
        <f ca="1">SUM('AC-SVC'!H73)/2*AS7</f>
        <v>0</v>
      </c>
      <c r="AT73" s="61">
        <f ca="1">SUM(PT!E73)</f>
        <v>19022.04</v>
      </c>
      <c r="AU73" s="61">
        <f ca="1">SUM(FC!F73)</f>
        <v>0</v>
      </c>
      <c r="AV73" s="61">
        <f ca="1">SUM(FN!H73)</f>
        <v>0</v>
      </c>
      <c r="AW73" s="61">
        <f ca="1">SUM(FS!F73)</f>
        <v>0</v>
      </c>
      <c r="AX73" s="61">
        <f ca="1">SUM(IT!F73)</f>
        <v>0</v>
      </c>
      <c r="AY73" s="87"/>
      <c r="AZ73" s="67">
        <f t="shared" si="27"/>
        <v>818122.42768749991</v>
      </c>
    </row>
    <row r="74" spans="1:52">
      <c r="A74" s="33" t="s">
        <v>13</v>
      </c>
      <c r="B74" s="33" t="s">
        <v>316</v>
      </c>
      <c r="C74" s="54"/>
      <c r="D74" s="54">
        <f t="shared" si="24"/>
        <v>67491.699659999998</v>
      </c>
      <c r="E74" s="71">
        <f t="shared" si="25"/>
        <v>44994.466439999997</v>
      </c>
      <c r="F74" s="71">
        <f t="shared" si="26"/>
        <v>0</v>
      </c>
      <c r="G74" s="54"/>
      <c r="H74" s="54"/>
      <c r="I74" s="78"/>
      <c r="J74" s="54">
        <f ca="1">SUM('12-2013 Ret Emp'!I82)</f>
        <v>22497.233219999998</v>
      </c>
      <c r="K74" s="54">
        <f ca="1">+'AC-SCH'!$D82</f>
        <v>22497.233219999998</v>
      </c>
      <c r="L74" s="54">
        <f ca="1">+'AC-SCH'!$D82*L7*0.5</f>
        <v>22497.233219999998</v>
      </c>
      <c r="M74" s="54">
        <f ca="1">+'AC-SCH'!$D82*0</f>
        <v>0</v>
      </c>
      <c r="N74" s="54"/>
      <c r="O74" s="54">
        <f ca="1">+'AC-SCH'!$D82</f>
        <v>22497.233219999998</v>
      </c>
      <c r="P74" s="54">
        <f ca="1">+'AC-SCH'!$D82</f>
        <v>22497.233219999998</v>
      </c>
      <c r="Q74" s="54">
        <f ca="1">+'AC-SCH'!$D82*0</f>
        <v>0</v>
      </c>
      <c r="R74" s="54">
        <f ca="1">+'AC-SCH'!$D82*0</f>
        <v>0</v>
      </c>
      <c r="S74" s="54">
        <f ca="1">+'AC-SCH'!$D82*0</f>
        <v>0</v>
      </c>
      <c r="T74" s="54">
        <f ca="1">+'AC-SCH'!$D82*0</f>
        <v>0</v>
      </c>
      <c r="U74" s="54"/>
      <c r="V74" s="54">
        <f ca="1">+'AC-SCH'!$D82*0</f>
        <v>0</v>
      </c>
      <c r="W74" s="54">
        <f ca="1">+'AC-SCH'!$D82*0</f>
        <v>0</v>
      </c>
      <c r="X74" s="54"/>
      <c r="Y74" s="54">
        <f ca="1">+'AC-SCH'!$D82*0</f>
        <v>0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74"/>
      <c r="AN74" s="61">
        <f ca="1">SUM('AC-SVC'!C74)</f>
        <v>0</v>
      </c>
      <c r="AO74" s="61">
        <f ca="1">SUM('AC-SVC'!D74)</f>
        <v>0</v>
      </c>
      <c r="AP74" s="61">
        <f ca="1">SUM('AC-SVC'!E74)</f>
        <v>0</v>
      </c>
      <c r="AQ74" s="61">
        <f ca="1">SUM('AC-SVC'!F74)</f>
        <v>0</v>
      </c>
      <c r="AR74" s="61">
        <f ca="1">SUM('AC-SVC'!G74)</f>
        <v>0</v>
      </c>
      <c r="AS74" s="61">
        <f ca="1">SUM('AC-SVC'!H74)</f>
        <v>0</v>
      </c>
      <c r="AT74" s="61">
        <f ca="1">SUM(PT!E74)</f>
        <v>0</v>
      </c>
      <c r="AU74" s="61">
        <f ca="1">SUM(FC!F74)</f>
        <v>0</v>
      </c>
      <c r="AV74" s="61">
        <f ca="1">SUM(FN!H74)</f>
        <v>0</v>
      </c>
      <c r="AW74" s="61">
        <f ca="1">SUM(FS!F74)</f>
        <v>0</v>
      </c>
      <c r="AX74" s="61">
        <f ca="1">SUM(IT!F74)</f>
        <v>0</v>
      </c>
      <c r="AY74" s="87"/>
      <c r="AZ74" s="67">
        <f t="shared" si="27"/>
        <v>112486.1661</v>
      </c>
    </row>
    <row r="75" spans="1:52">
      <c r="A75" s="33" t="s">
        <v>14</v>
      </c>
      <c r="B75" s="33" t="s">
        <v>317</v>
      </c>
      <c r="C75" s="54"/>
      <c r="D75" s="54">
        <f t="shared" si="24"/>
        <v>0</v>
      </c>
      <c r="E75" s="71">
        <f t="shared" si="25"/>
        <v>0</v>
      </c>
      <c r="F75" s="71">
        <f t="shared" si="26"/>
        <v>0</v>
      </c>
      <c r="G75" s="54"/>
      <c r="H75" s="54"/>
      <c r="I75" s="78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74"/>
      <c r="AN75" s="61">
        <f ca="1">SUM('AC-SVC'!C75)</f>
        <v>0</v>
      </c>
      <c r="AO75" s="61">
        <f ca="1">SUM('AC-SVC'!D75)/2*AO7</f>
        <v>26386.546449401012</v>
      </c>
      <c r="AP75" s="61">
        <f ca="1">SUM('AC-SVC'!E75)/2*AP7</f>
        <v>22669.644250000001</v>
      </c>
      <c r="AQ75" s="61">
        <f ca="1">SUM('AC-SVC'!F75)</f>
        <v>0</v>
      </c>
      <c r="AR75" s="61">
        <f ca="1">SUM('AC-SVC'!G75)</f>
        <v>0</v>
      </c>
      <c r="AS75" s="61">
        <f ca="1">SUM('AC-SVC'!H75)</f>
        <v>0</v>
      </c>
      <c r="AT75" s="61">
        <f ca="1">SUM(PT!E75)</f>
        <v>0</v>
      </c>
      <c r="AU75" s="61">
        <f ca="1">SUM(FC!F75)</f>
        <v>0</v>
      </c>
      <c r="AV75" s="61">
        <f ca="1">SUM(FN!H75)</f>
        <v>0</v>
      </c>
      <c r="AW75" s="61">
        <f ca="1">SUM(FS!F75)</f>
        <v>0</v>
      </c>
      <c r="AX75" s="61">
        <f ca="1">SUM(IT!F75)</f>
        <v>0</v>
      </c>
      <c r="AY75" s="87"/>
      <c r="AZ75" s="67">
        <f t="shared" si="27"/>
        <v>49056.190699401013</v>
      </c>
    </row>
    <row r="76" spans="1:52">
      <c r="A76" s="33" t="s">
        <v>15</v>
      </c>
      <c r="B76" s="33" t="s">
        <v>318</v>
      </c>
      <c r="C76" s="54"/>
      <c r="D76" s="54">
        <f t="shared" si="24"/>
        <v>0</v>
      </c>
      <c r="E76" s="71">
        <f t="shared" si="25"/>
        <v>0</v>
      </c>
      <c r="F76" s="71">
        <f t="shared" si="26"/>
        <v>0</v>
      </c>
      <c r="G76" s="54"/>
      <c r="H76" s="54"/>
      <c r="I76" s="78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74"/>
      <c r="AN76" s="61">
        <f ca="1">SUM('AC-SVC'!C76)</f>
        <v>0</v>
      </c>
      <c r="AO76" s="61">
        <f ca="1">SUM('AC-SVC'!D76)</f>
        <v>0</v>
      </c>
      <c r="AP76" s="61">
        <f ca="1">SUM('AC-SVC'!E76)</f>
        <v>0</v>
      </c>
      <c r="AQ76" s="61">
        <f ca="1">SUM('AC-SVC'!F76)/2*AQ7</f>
        <v>26381.717308648829</v>
      </c>
      <c r="AR76" s="61">
        <f ca="1">SUM('AC-SVC'!G76)</f>
        <v>0</v>
      </c>
      <c r="AS76" s="61">
        <f ca="1">SUM('AC-SVC'!H76)</f>
        <v>0</v>
      </c>
      <c r="AT76" s="61">
        <f ca="1">SUM(PT!E76)</f>
        <v>0</v>
      </c>
      <c r="AU76" s="61">
        <f ca="1">SUM(FC!F76)</f>
        <v>0</v>
      </c>
      <c r="AV76" s="61">
        <f ca="1">SUM(FN!H76)</f>
        <v>0</v>
      </c>
      <c r="AW76" s="61">
        <f ca="1">SUM(FS!F76)</f>
        <v>0</v>
      </c>
      <c r="AX76" s="61">
        <f ca="1">SUM(IT!F76)</f>
        <v>10902.972668791499</v>
      </c>
      <c r="AY76" s="87"/>
      <c r="AZ76" s="67">
        <f t="shared" si="27"/>
        <v>37284.689977440328</v>
      </c>
    </row>
    <row r="77" spans="1:52">
      <c r="A77" s="33" t="s">
        <v>16</v>
      </c>
      <c r="B77" s="33" t="s">
        <v>319</v>
      </c>
      <c r="C77" s="54"/>
      <c r="D77" s="54">
        <f t="shared" si="24"/>
        <v>0</v>
      </c>
      <c r="E77" s="71">
        <f t="shared" si="25"/>
        <v>0</v>
      </c>
      <c r="F77" s="71">
        <f t="shared" si="26"/>
        <v>0</v>
      </c>
      <c r="G77" s="54">
        <f ca="1">+'STF-SCH'!D29+'STF-SCH'!D44*0</f>
        <v>29933.2935</v>
      </c>
      <c r="H77" s="54"/>
      <c r="I77" s="78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74"/>
      <c r="AN77" s="61">
        <f ca="1">SUM('AC-SVC'!C77)</f>
        <v>0</v>
      </c>
      <c r="AO77" s="61">
        <f ca="1">SUM('AC-SVC'!D77)</f>
        <v>0</v>
      </c>
      <c r="AP77" s="61">
        <f ca="1">SUM('AC-SVC'!E77)</f>
        <v>0</v>
      </c>
      <c r="AQ77" s="61">
        <f ca="1">SUM('AC-SVC'!F77)</f>
        <v>0</v>
      </c>
      <c r="AR77" s="61">
        <f ca="1">SUM('AC-SVC'!G77)</f>
        <v>0</v>
      </c>
      <c r="AS77" s="61">
        <f ca="1">SUM('AC-SVC'!H77)</f>
        <v>0</v>
      </c>
      <c r="AT77" s="61">
        <f ca="1">SUM(PT!E77)</f>
        <v>0</v>
      </c>
      <c r="AU77" s="61">
        <f ca="1">SUM(FC!F77)</f>
        <v>0</v>
      </c>
      <c r="AV77" s="61">
        <f ca="1">SUM(FN!H77)*AV7</f>
        <v>0</v>
      </c>
      <c r="AW77" s="61">
        <f ca="1">SUM(FS!F77)</f>
        <v>0</v>
      </c>
      <c r="AX77" s="61">
        <f ca="1">SUM(IT!F77)</f>
        <v>0</v>
      </c>
      <c r="AY77" s="87"/>
      <c r="AZ77" s="67">
        <f t="shared" si="27"/>
        <v>29933.2935</v>
      </c>
    </row>
    <row r="78" spans="1:52">
      <c r="A78" s="33" t="s">
        <v>17</v>
      </c>
      <c r="B78" s="33" t="s">
        <v>320</v>
      </c>
      <c r="C78" s="54"/>
      <c r="D78" s="54">
        <f t="shared" si="24"/>
        <v>0</v>
      </c>
      <c r="E78" s="71">
        <f t="shared" si="25"/>
        <v>0</v>
      </c>
      <c r="F78" s="71">
        <f t="shared" si="26"/>
        <v>0</v>
      </c>
      <c r="G78" s="54"/>
      <c r="H78" s="54"/>
      <c r="I78" s="78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74"/>
      <c r="AN78" s="61">
        <f ca="1">SUM('AC-SVC'!C78)</f>
        <v>0</v>
      </c>
      <c r="AO78" s="61">
        <f ca="1">SUM('AC-SVC'!D78)</f>
        <v>0</v>
      </c>
      <c r="AP78" s="61">
        <f ca="1">SUM('AC-SVC'!E78)</f>
        <v>0</v>
      </c>
      <c r="AQ78" s="61">
        <f ca="1">SUM('AC-SVC'!F78)</f>
        <v>0</v>
      </c>
      <c r="AR78" s="61">
        <f ca="1">SUM('AC-SVC'!G78)</f>
        <v>0</v>
      </c>
      <c r="AS78" s="61">
        <f ca="1">SUM('AC-SVC'!H78)</f>
        <v>0</v>
      </c>
      <c r="AT78" s="61">
        <f ca="1">SUM(PT!E78)</f>
        <v>0</v>
      </c>
      <c r="AU78" s="61">
        <f ca="1">SUM(FC!F78)</f>
        <v>18273.761039160003</v>
      </c>
      <c r="AV78" s="61">
        <f ca="1">SUM(FN!H78)</f>
        <v>0</v>
      </c>
      <c r="AW78" s="61">
        <f ca="1">SUM(FS!F78)</f>
        <v>32353.959330000005</v>
      </c>
      <c r="AX78" s="61">
        <f ca="1">SUM(IT!F78)</f>
        <v>0</v>
      </c>
      <c r="AY78" s="87"/>
      <c r="AZ78" s="67">
        <f t="shared" si="27"/>
        <v>50627.720369160008</v>
      </c>
    </row>
    <row r="79" spans="1:52" ht="14.25" customHeight="1">
      <c r="A79" s="33" t="s">
        <v>18</v>
      </c>
      <c r="B79" s="33" t="s">
        <v>322</v>
      </c>
      <c r="C79" s="55"/>
      <c r="D79" s="55">
        <f t="shared" si="24"/>
        <v>0</v>
      </c>
      <c r="E79" s="55">
        <f t="shared" si="25"/>
        <v>0</v>
      </c>
      <c r="F79" s="55">
        <f t="shared" si="26"/>
        <v>0</v>
      </c>
      <c r="G79" s="55"/>
      <c r="H79" s="55"/>
      <c r="I79" s="80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74"/>
      <c r="AN79" s="40">
        <f ca="1">SUM('AC-SVC'!C79)</f>
        <v>0</v>
      </c>
      <c r="AO79" s="40">
        <f ca="1">SUM('AC-SVC'!D79)</f>
        <v>0</v>
      </c>
      <c r="AP79" s="40">
        <f ca="1">SUM('AC-SVC'!E79)</f>
        <v>0</v>
      </c>
      <c r="AQ79" s="40">
        <f ca="1">SUM('AC-SVC'!F79)</f>
        <v>0</v>
      </c>
      <c r="AR79" s="40">
        <f ca="1">SUM('AC-SVC'!G79)</f>
        <v>0</v>
      </c>
      <c r="AS79" s="40">
        <f ca="1">SUM('AC-SVC'!H79)</f>
        <v>0</v>
      </c>
      <c r="AT79" s="40">
        <f ca="1">SUM(PT!E79)</f>
        <v>0</v>
      </c>
      <c r="AU79" s="40">
        <f ca="1">SUM(FC!F79)</f>
        <v>18217.507453200004</v>
      </c>
      <c r="AV79" s="40">
        <f ca="1">SUM(FN!H79)</f>
        <v>0</v>
      </c>
      <c r="AW79" s="40">
        <f ca="1">SUM(FS!F79)</f>
        <v>0</v>
      </c>
      <c r="AX79" s="40">
        <f ca="1">SUM(IT!F79)</f>
        <v>0</v>
      </c>
      <c r="AY79" s="80"/>
      <c r="AZ79" s="66">
        <f t="shared" si="27"/>
        <v>18217.507453200004</v>
      </c>
    </row>
    <row r="80" spans="1:52">
      <c r="B80" s="33" t="s">
        <v>24</v>
      </c>
      <c r="C80" s="54">
        <f t="shared" ref="C80:H80" si="28">SUM(C72:C79)</f>
        <v>0</v>
      </c>
      <c r="D80" s="54">
        <f t="shared" si="28"/>
        <v>274319.31309749995</v>
      </c>
      <c r="E80" s="54">
        <f t="shared" si="28"/>
        <v>407662.8927524999</v>
      </c>
      <c r="F80" s="54">
        <f t="shared" si="28"/>
        <v>206827.61343749997</v>
      </c>
      <c r="G80" s="54">
        <f t="shared" si="28"/>
        <v>110180.73229751611</v>
      </c>
      <c r="H80" s="54">
        <f t="shared" si="28"/>
        <v>58966.639832196677</v>
      </c>
      <c r="I80" s="78"/>
      <c r="J80" s="54">
        <f t="shared" ref="J80:AL80" si="29">SUM(J72:J79)</f>
        <v>63862.755907499988</v>
      </c>
      <c r="K80" s="54">
        <f t="shared" si="29"/>
        <v>63862.755907499988</v>
      </c>
      <c r="L80" s="54">
        <f t="shared" si="29"/>
        <v>63862.755907499988</v>
      </c>
      <c r="M80" s="54">
        <f t="shared" si="29"/>
        <v>82731.045374999987</v>
      </c>
      <c r="N80" s="54"/>
      <c r="O80" s="54">
        <f t="shared" si="29"/>
        <v>63862.755907499988</v>
      </c>
      <c r="P80" s="54">
        <f t="shared" si="29"/>
        <v>63862.755907499988</v>
      </c>
      <c r="Q80" s="54">
        <f t="shared" si="29"/>
        <v>0</v>
      </c>
      <c r="R80" s="54">
        <f t="shared" si="29"/>
        <v>41365.522687499993</v>
      </c>
      <c r="S80" s="54">
        <f t="shared" si="29"/>
        <v>0</v>
      </c>
      <c r="T80" s="54">
        <f t="shared" si="29"/>
        <v>0</v>
      </c>
      <c r="U80" s="54">
        <f t="shared" si="29"/>
        <v>20682.761343749997</v>
      </c>
      <c r="V80" s="54">
        <f t="shared" si="29"/>
        <v>41365.522687499993</v>
      </c>
      <c r="W80" s="54">
        <f t="shared" si="29"/>
        <v>0</v>
      </c>
      <c r="X80" s="54">
        <f t="shared" si="29"/>
        <v>20682.761343749997</v>
      </c>
      <c r="Y80" s="54">
        <f t="shared" si="29"/>
        <v>20682.761343749997</v>
      </c>
      <c r="Z80" s="54">
        <f t="shared" si="29"/>
        <v>0</v>
      </c>
      <c r="AA80" s="54">
        <f t="shared" si="29"/>
        <v>20682.761343749997</v>
      </c>
      <c r="AB80" s="54">
        <f t="shared" si="29"/>
        <v>0</v>
      </c>
      <c r="AC80" s="54">
        <f t="shared" si="29"/>
        <v>32753.16</v>
      </c>
      <c r="AD80" s="54">
        <f t="shared" si="29"/>
        <v>40356.607499999998</v>
      </c>
      <c r="AE80" s="54">
        <f t="shared" si="29"/>
        <v>41365.522687499993</v>
      </c>
      <c r="AF80" s="54">
        <f t="shared" si="29"/>
        <v>0</v>
      </c>
      <c r="AG80" s="54">
        <f t="shared" si="29"/>
        <v>0</v>
      </c>
      <c r="AH80" s="54">
        <f t="shared" si="29"/>
        <v>41365.522687499993</v>
      </c>
      <c r="AI80" s="54">
        <f t="shared" si="29"/>
        <v>41365.522687499993</v>
      </c>
      <c r="AJ80" s="54">
        <f t="shared" si="29"/>
        <v>41365.522687499993</v>
      </c>
      <c r="AK80" s="54">
        <f>SUM(AK72:AK79)</f>
        <v>41365.522687499993</v>
      </c>
      <c r="AL80" s="54">
        <f t="shared" si="29"/>
        <v>41365.522687499993</v>
      </c>
      <c r="AM80" s="74"/>
      <c r="AN80" s="54">
        <f t="shared" ref="AN80:AS80" si="30">SUM(AN72:AN79)</f>
        <v>15990.707155629145</v>
      </c>
      <c r="AO80" s="54">
        <f t="shared" si="30"/>
        <v>26386.546449401012</v>
      </c>
      <c r="AP80" s="54">
        <f t="shared" si="30"/>
        <v>22669.644250000001</v>
      </c>
      <c r="AQ80" s="54">
        <f t="shared" si="30"/>
        <v>26381.717308648829</v>
      </c>
      <c r="AR80" s="54">
        <f t="shared" si="30"/>
        <v>20276.734500000002</v>
      </c>
      <c r="AS80" s="54">
        <f t="shared" si="30"/>
        <v>13750</v>
      </c>
      <c r="AT80" s="39">
        <f>+SUM(AT72:AT79)</f>
        <v>19022.04</v>
      </c>
      <c r="AU80" s="39">
        <f>+SUM(AU72:AU79)</f>
        <v>36491.268492360003</v>
      </c>
      <c r="AV80" s="39">
        <f>+SUM(AV72:AV79)</f>
        <v>0</v>
      </c>
      <c r="AW80" s="39">
        <f>+SUM(AW72:AW79)</f>
        <v>32353.959330000005</v>
      </c>
      <c r="AX80" s="39">
        <f>+SUM(AX72:AX79)</f>
        <v>10902.972668791499</v>
      </c>
      <c r="AY80" s="78"/>
      <c r="AZ80" s="57">
        <f>SUM(AZ72:AZ79)</f>
        <v>1282182.781572043</v>
      </c>
    </row>
    <row r="81" spans="1:52">
      <c r="C81" s="54"/>
      <c r="D81" s="54"/>
      <c r="E81" s="54"/>
      <c r="F81" s="54"/>
      <c r="G81" s="54"/>
      <c r="H81" s="54"/>
      <c r="I81" s="78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74"/>
      <c r="AN81" s="39"/>
      <c r="AO81" s="54"/>
      <c r="AP81" s="39"/>
      <c r="AQ81" s="39"/>
      <c r="AR81" s="39"/>
      <c r="AS81" s="39"/>
      <c r="AT81" s="39"/>
      <c r="AU81" s="39"/>
      <c r="AV81" s="39"/>
      <c r="AW81" s="39"/>
      <c r="AX81" s="39"/>
      <c r="AY81" s="78"/>
      <c r="AZ81" s="57"/>
    </row>
    <row r="82" spans="1:52">
      <c r="C82" s="54"/>
      <c r="D82" s="54"/>
      <c r="E82" s="54"/>
      <c r="F82" s="54"/>
      <c r="G82" s="54"/>
      <c r="H82" s="54"/>
      <c r="I82" s="78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74"/>
      <c r="AN82" s="39"/>
      <c r="AO82" s="54"/>
      <c r="AP82" s="39"/>
      <c r="AQ82" s="39"/>
      <c r="AR82" s="39"/>
      <c r="AS82" s="39"/>
      <c r="AT82" s="39"/>
      <c r="AU82" s="39"/>
      <c r="AV82" s="39"/>
      <c r="AW82" s="39"/>
      <c r="AX82" s="39"/>
      <c r="AY82" s="78"/>
      <c r="AZ82" s="57"/>
    </row>
    <row r="83" spans="1:52">
      <c r="A83" s="33" t="s">
        <v>325</v>
      </c>
      <c r="C83" s="54"/>
      <c r="D83" s="54"/>
      <c r="E83" s="54"/>
      <c r="F83" s="54"/>
      <c r="G83" s="54"/>
      <c r="H83" s="54"/>
      <c r="I83" s="78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74"/>
      <c r="AN83" s="39"/>
      <c r="AO83" s="54"/>
      <c r="AP83" s="39"/>
      <c r="AQ83" s="39"/>
      <c r="AR83" s="39"/>
      <c r="AS83" s="39"/>
      <c r="AT83" s="39"/>
      <c r="AU83" s="39"/>
      <c r="AV83" s="39"/>
      <c r="AW83" s="39"/>
      <c r="AX83" s="39"/>
      <c r="AY83" s="78"/>
      <c r="AZ83" s="57"/>
    </row>
    <row r="84" spans="1:52">
      <c r="A84" s="33" t="s">
        <v>20</v>
      </c>
      <c r="B84" s="33" t="s">
        <v>324</v>
      </c>
      <c r="C84" s="54"/>
      <c r="D84" s="54">
        <f>SUM(J84:M84)</f>
        <v>1400</v>
      </c>
      <c r="E84" s="71">
        <f>SUM(O84:AG84)</f>
        <v>7745.5</v>
      </c>
      <c r="F84" s="71">
        <f>SUM(AH84:AL84)</f>
        <v>5250</v>
      </c>
      <c r="G84" s="54"/>
      <c r="H84" s="54"/>
      <c r="I84" s="78"/>
      <c r="J84" s="54">
        <f>40*7</f>
        <v>280</v>
      </c>
      <c r="K84" s="54">
        <f t="shared" ref="K84:V84" si="31">40*7</f>
        <v>280</v>
      </c>
      <c r="L84" s="54">
        <f>40*7*L7</f>
        <v>560</v>
      </c>
      <c r="M84" s="54">
        <f t="shared" si="31"/>
        <v>280</v>
      </c>
      <c r="N84" s="54"/>
      <c r="O84" s="54">
        <f t="shared" si="31"/>
        <v>280</v>
      </c>
      <c r="P84" s="54">
        <f t="shared" si="31"/>
        <v>280</v>
      </c>
      <c r="Q84" s="54">
        <v>0</v>
      </c>
      <c r="R84" s="54">
        <f t="shared" si="31"/>
        <v>280</v>
      </c>
      <c r="S84" s="54">
        <v>0</v>
      </c>
      <c r="T84" s="54">
        <v>0</v>
      </c>
      <c r="U84" s="54">
        <f>150*7*0.75</f>
        <v>787.5</v>
      </c>
      <c r="V84" s="54">
        <f t="shared" si="31"/>
        <v>280</v>
      </c>
      <c r="W84" s="54">
        <v>0</v>
      </c>
      <c r="X84" s="54">
        <f>106*7*0.5</f>
        <v>371</v>
      </c>
      <c r="Y84" s="54">
        <f>106*7*0.5</f>
        <v>371</v>
      </c>
      <c r="Z84" s="54">
        <v>0</v>
      </c>
      <c r="AA84" s="54">
        <f>106*7*0.5</f>
        <v>371</v>
      </c>
      <c r="AB84" s="54">
        <v>0</v>
      </c>
      <c r="AC84" s="54">
        <f>150*7*1.5</f>
        <v>1575</v>
      </c>
      <c r="AD84" s="54">
        <f>150*7*2</f>
        <v>2100</v>
      </c>
      <c r="AE84" s="54">
        <f>150*7</f>
        <v>1050</v>
      </c>
      <c r="AF84" s="54"/>
      <c r="AG84" s="54"/>
      <c r="AH84" s="54">
        <f>150*7*AH7</f>
        <v>1050</v>
      </c>
      <c r="AI84" s="54">
        <f>150*7*AI7</f>
        <v>1050</v>
      </c>
      <c r="AJ84" s="54">
        <f>150*7*AJ7</f>
        <v>1050</v>
      </c>
      <c r="AK84" s="54">
        <f>150*7*AK7</f>
        <v>1050</v>
      </c>
      <c r="AL84" s="54">
        <f>150*7*AL7</f>
        <v>1050</v>
      </c>
      <c r="AM84" s="74"/>
      <c r="AN84" s="71">
        <f ca="1">SUM('AC-SVC'!C84)</f>
        <v>0</v>
      </c>
      <c r="AO84" s="71">
        <f ca="1">SUM('AC-SVC'!D84)</f>
        <v>0</v>
      </c>
      <c r="AP84" s="71">
        <f ca="1">SUM('AC-SVC'!E84)</f>
        <v>0</v>
      </c>
      <c r="AQ84" s="71">
        <f ca="1">SUM('AC-SVC'!F84)</f>
        <v>0</v>
      </c>
      <c r="AR84" s="71">
        <f ca="1">SUM('AC-SVC'!G84)</f>
        <v>0</v>
      </c>
      <c r="AS84" s="71">
        <f ca="1">SUM('AC-SVC'!H84)</f>
        <v>0</v>
      </c>
      <c r="AT84" s="61">
        <f ca="1">SUM(PT!E84)</f>
        <v>0</v>
      </c>
      <c r="AU84" s="71">
        <f ca="1">SUM(FC!F84)</f>
        <v>0</v>
      </c>
      <c r="AV84" s="71">
        <f ca="1">SUM(FN!H84)</f>
        <v>0</v>
      </c>
      <c r="AW84" s="71">
        <f ca="1">SUM(FS!F84)</f>
        <v>1260</v>
      </c>
      <c r="AX84" s="71">
        <f ca="1">SUM(IT!F84)</f>
        <v>0</v>
      </c>
      <c r="AY84" s="87"/>
      <c r="AZ84" s="67">
        <f>SUM(C84:H84)+SUM(AN84:AX84)</f>
        <v>15655.5</v>
      </c>
    </row>
    <row r="85" spans="1:52">
      <c r="A85" s="33" t="s">
        <v>21</v>
      </c>
      <c r="B85" s="33" t="s">
        <v>325</v>
      </c>
      <c r="C85" s="54"/>
      <c r="D85" s="54">
        <f>SUM(J85:M85)</f>
        <v>0</v>
      </c>
      <c r="E85" s="71">
        <f>SUM(O85:AG85)</f>
        <v>0</v>
      </c>
      <c r="F85" s="71">
        <f>SUM(AH85:AL85)</f>
        <v>0</v>
      </c>
      <c r="G85" s="54"/>
      <c r="H85" s="54"/>
      <c r="I85" s="78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74"/>
      <c r="AN85" s="71">
        <f ca="1">SUM('AC-SVC'!C85)</f>
        <v>0</v>
      </c>
      <c r="AO85" s="71">
        <f ca="1">SUM('AC-SVC'!D85)</f>
        <v>0</v>
      </c>
      <c r="AP85" s="71">
        <f ca="1">SUM('AC-SVC'!E85)</f>
        <v>0</v>
      </c>
      <c r="AQ85" s="71">
        <f ca="1">SUM('AC-SVC'!F85)</f>
        <v>0</v>
      </c>
      <c r="AR85" s="71">
        <f ca="1">SUM('AC-SVC'!G85)</f>
        <v>0</v>
      </c>
      <c r="AS85" s="71">
        <f ca="1">SUM('AC-SVC'!H85)</f>
        <v>0</v>
      </c>
      <c r="AT85" s="61">
        <f ca="1">SUM(PT!E85)</f>
        <v>0</v>
      </c>
      <c r="AU85" s="71">
        <f ca="1">SUM(FC!F85)</f>
        <v>4000</v>
      </c>
      <c r="AV85" s="71">
        <f ca="1">SUM(FN!H85)</f>
        <v>0</v>
      </c>
      <c r="AW85" s="71">
        <f ca="1">SUM(FS!F85)</f>
        <v>0</v>
      </c>
      <c r="AX85" s="71">
        <f ca="1">SUM(IT!F85)</f>
        <v>0</v>
      </c>
      <c r="AY85" s="87"/>
      <c r="AZ85" s="67">
        <f>SUM(C85:H85)+SUM(AN85:AX85)</f>
        <v>4000</v>
      </c>
    </row>
    <row r="86" spans="1:52">
      <c r="A86" s="33" t="s">
        <v>487</v>
      </c>
      <c r="B86" s="33" t="s">
        <v>441</v>
      </c>
      <c r="C86" s="54"/>
      <c r="D86" s="54"/>
      <c r="E86" s="71">
        <f>SUM(O86:AG86)</f>
        <v>0</v>
      </c>
      <c r="F86" s="71">
        <f>SUM(AH86:AL86)</f>
        <v>0</v>
      </c>
      <c r="G86" s="54"/>
      <c r="H86" s="54"/>
      <c r="I86" s="78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74"/>
      <c r="AN86" s="71">
        <f ca="1">SUM('AC-SVC'!C86)</f>
        <v>0</v>
      </c>
      <c r="AO86" s="71">
        <f ca="1">SUM('AC-SVC'!D86)</f>
        <v>0</v>
      </c>
      <c r="AP86" s="71">
        <f ca="1">SUM('AC-SVC'!E86)</f>
        <v>0</v>
      </c>
      <c r="AQ86" s="71">
        <f ca="1">SUM('AC-SVC'!F86)</f>
        <v>0</v>
      </c>
      <c r="AR86" s="71">
        <f ca="1">SUM('AC-SVC'!G86)</f>
        <v>0</v>
      </c>
      <c r="AS86" s="71">
        <f ca="1">SUM('AC-SVC'!H86)</f>
        <v>0</v>
      </c>
      <c r="AT86" s="61">
        <f ca="1">SUM(PT!E86)</f>
        <v>0</v>
      </c>
      <c r="AU86" s="71">
        <f ca="1">SUM(FC!F86)</f>
        <v>0</v>
      </c>
      <c r="AV86" s="71">
        <f ca="1">SUM(FN!H86)*AV7</f>
        <v>0</v>
      </c>
      <c r="AW86" s="71">
        <f ca="1">SUM(FS!F86)</f>
        <v>0</v>
      </c>
      <c r="AX86" s="71">
        <f ca="1">SUM(IT!F86)</f>
        <v>0</v>
      </c>
      <c r="AY86" s="87"/>
      <c r="AZ86" s="67">
        <f>SUM(C86:H86)+SUM(AN86:AX86)</f>
        <v>0</v>
      </c>
    </row>
    <row r="87" spans="1:52">
      <c r="A87" s="33" t="s">
        <v>22</v>
      </c>
      <c r="B87" s="33" t="s">
        <v>23</v>
      </c>
      <c r="C87" s="55"/>
      <c r="D87" s="55">
        <f>SUM(J87:M87)</f>
        <v>18000</v>
      </c>
      <c r="E87" s="55">
        <f>SUM(O87:AG87)</f>
        <v>18000</v>
      </c>
      <c r="F87" s="55">
        <f>SUM(AH87:AL87)</f>
        <v>0</v>
      </c>
      <c r="G87" s="55"/>
      <c r="H87" s="55"/>
      <c r="I87" s="80"/>
      <c r="J87" s="55">
        <v>6000</v>
      </c>
      <c r="K87" s="55"/>
      <c r="L87" s="55">
        <v>0</v>
      </c>
      <c r="M87" s="55">
        <f>6000*M7</f>
        <v>12000</v>
      </c>
      <c r="N87" s="55"/>
      <c r="O87" s="55">
        <v>6000</v>
      </c>
      <c r="P87" s="55"/>
      <c r="Q87" s="55">
        <v>0</v>
      </c>
      <c r="R87" s="55">
        <v>6000</v>
      </c>
      <c r="S87" s="55"/>
      <c r="T87" s="55">
        <v>0</v>
      </c>
      <c r="U87" s="55"/>
      <c r="V87" s="55">
        <v>6000</v>
      </c>
      <c r="W87" s="55">
        <v>0</v>
      </c>
      <c r="X87" s="55"/>
      <c r="Y87" s="55">
        <v>0</v>
      </c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74"/>
      <c r="AN87" s="55">
        <f ca="1">SUM('AC-SVC'!C87)</f>
        <v>0</v>
      </c>
      <c r="AO87" s="55">
        <f ca="1">SUM('AC-SVC'!D87)</f>
        <v>0</v>
      </c>
      <c r="AP87" s="55">
        <f ca="1">SUM('AC-SVC'!E87)</f>
        <v>0</v>
      </c>
      <c r="AQ87" s="55">
        <f ca="1">SUM('AC-SVC'!F87)</f>
        <v>0</v>
      </c>
      <c r="AR87" s="55">
        <f ca="1">SUM('AC-SVC'!G87)</f>
        <v>0</v>
      </c>
      <c r="AS87" s="55">
        <f ca="1">SUM('AC-SVC'!H87)</f>
        <v>0</v>
      </c>
      <c r="AT87" s="40">
        <f ca="1">SUM(PT!E87)</f>
        <v>0</v>
      </c>
      <c r="AU87" s="55">
        <f ca="1">SUM(FC!F87)</f>
        <v>0</v>
      </c>
      <c r="AV87" s="55">
        <f ca="1">SUM(FN!H87)</f>
        <v>0</v>
      </c>
      <c r="AW87" s="55">
        <f ca="1">SUM(FS!F87)</f>
        <v>0</v>
      </c>
      <c r="AX87" s="55">
        <f ca="1">SUM(IT!F87)</f>
        <v>0</v>
      </c>
      <c r="AY87" s="80"/>
      <c r="AZ87" s="66">
        <f>SUM(C87:H87)+SUM(AN87:AX87)</f>
        <v>36000</v>
      </c>
    </row>
    <row r="88" spans="1:52">
      <c r="B88" s="33" t="s">
        <v>326</v>
      </c>
      <c r="C88" s="54">
        <f t="shared" ref="C88:H88" si="32">SUM(C84:C87)</f>
        <v>0</v>
      </c>
      <c r="D88" s="54">
        <f t="shared" si="32"/>
        <v>19400</v>
      </c>
      <c r="E88" s="54">
        <f t="shared" si="32"/>
        <v>25745.5</v>
      </c>
      <c r="F88" s="54">
        <f t="shared" si="32"/>
        <v>5250</v>
      </c>
      <c r="G88" s="54">
        <f t="shared" si="32"/>
        <v>0</v>
      </c>
      <c r="H88" s="54">
        <f t="shared" si="32"/>
        <v>0</v>
      </c>
      <c r="I88" s="78"/>
      <c r="J88" s="54">
        <f>SUM(J84:J87)</f>
        <v>6280</v>
      </c>
      <c r="K88" s="54">
        <f t="shared" ref="K88:AL88" si="33">SUM(K84:K87)</f>
        <v>280</v>
      </c>
      <c r="L88" s="54">
        <f t="shared" si="33"/>
        <v>560</v>
      </c>
      <c r="M88" s="54">
        <f t="shared" si="33"/>
        <v>12280</v>
      </c>
      <c r="N88" s="54"/>
      <c r="O88" s="54">
        <f t="shared" si="33"/>
        <v>6280</v>
      </c>
      <c r="P88" s="54">
        <f t="shared" si="33"/>
        <v>280</v>
      </c>
      <c r="Q88" s="54">
        <f t="shared" si="33"/>
        <v>0</v>
      </c>
      <c r="R88" s="54">
        <f t="shared" si="33"/>
        <v>6280</v>
      </c>
      <c r="S88" s="54">
        <f t="shared" si="33"/>
        <v>0</v>
      </c>
      <c r="T88" s="54">
        <f t="shared" si="33"/>
        <v>0</v>
      </c>
      <c r="U88" s="54">
        <f t="shared" si="33"/>
        <v>787.5</v>
      </c>
      <c r="V88" s="54">
        <f t="shared" si="33"/>
        <v>6280</v>
      </c>
      <c r="W88" s="54">
        <f t="shared" si="33"/>
        <v>0</v>
      </c>
      <c r="X88" s="54">
        <f t="shared" si="33"/>
        <v>371</v>
      </c>
      <c r="Y88" s="54">
        <f t="shared" si="33"/>
        <v>371</v>
      </c>
      <c r="Z88" s="54">
        <f t="shared" si="33"/>
        <v>0</v>
      </c>
      <c r="AA88" s="54">
        <f t="shared" si="33"/>
        <v>371</v>
      </c>
      <c r="AB88" s="54">
        <f t="shared" si="33"/>
        <v>0</v>
      </c>
      <c r="AC88" s="54">
        <f t="shared" si="33"/>
        <v>1575</v>
      </c>
      <c r="AD88" s="54">
        <f t="shared" si="33"/>
        <v>2100</v>
      </c>
      <c r="AE88" s="54">
        <f t="shared" si="33"/>
        <v>1050</v>
      </c>
      <c r="AF88" s="54">
        <f t="shared" si="33"/>
        <v>0</v>
      </c>
      <c r="AG88" s="54">
        <f t="shared" si="33"/>
        <v>0</v>
      </c>
      <c r="AH88" s="54">
        <f t="shared" si="33"/>
        <v>1050</v>
      </c>
      <c r="AI88" s="54">
        <f t="shared" si="33"/>
        <v>1050</v>
      </c>
      <c r="AJ88" s="54">
        <f t="shared" si="33"/>
        <v>1050</v>
      </c>
      <c r="AK88" s="54">
        <f>SUM(AK84:AK87)</f>
        <v>1050</v>
      </c>
      <c r="AL88" s="54">
        <f t="shared" si="33"/>
        <v>1050</v>
      </c>
      <c r="AM88" s="74"/>
      <c r="AN88" s="39">
        <f t="shared" ref="AN88:AX88" si="34">+SUM(AN84:AN87)</f>
        <v>0</v>
      </c>
      <c r="AO88" s="54">
        <f t="shared" si="34"/>
        <v>0</v>
      </c>
      <c r="AP88" s="39">
        <f t="shared" si="34"/>
        <v>0</v>
      </c>
      <c r="AQ88" s="39">
        <f t="shared" si="34"/>
        <v>0</v>
      </c>
      <c r="AR88" s="39">
        <f t="shared" si="34"/>
        <v>0</v>
      </c>
      <c r="AS88" s="39">
        <f t="shared" si="34"/>
        <v>0</v>
      </c>
      <c r="AT88" s="39">
        <f t="shared" si="34"/>
        <v>0</v>
      </c>
      <c r="AU88" s="39">
        <f t="shared" si="34"/>
        <v>4000</v>
      </c>
      <c r="AV88" s="39">
        <f t="shared" si="34"/>
        <v>0</v>
      </c>
      <c r="AW88" s="39">
        <f t="shared" si="34"/>
        <v>1260</v>
      </c>
      <c r="AX88" s="39">
        <f t="shared" si="34"/>
        <v>0</v>
      </c>
      <c r="AY88" s="78"/>
      <c r="AZ88" s="57">
        <f>SUM(AZ84:AZ87)</f>
        <v>55655.5</v>
      </c>
    </row>
    <row r="89" spans="1:52">
      <c r="C89" s="54"/>
      <c r="D89" s="54"/>
      <c r="E89" s="54"/>
      <c r="F89" s="54"/>
      <c r="G89" s="54"/>
      <c r="H89" s="54"/>
      <c r="I89" s="78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74"/>
      <c r="AN89" s="39"/>
      <c r="AO89" s="54"/>
      <c r="AP89" s="39"/>
      <c r="AQ89" s="39"/>
      <c r="AR89" s="39"/>
      <c r="AS89" s="39"/>
      <c r="AT89" s="39"/>
      <c r="AU89" s="39"/>
      <c r="AV89" s="39"/>
      <c r="AW89" s="39"/>
      <c r="AX89" s="39"/>
      <c r="AY89" s="78"/>
      <c r="AZ89" s="57"/>
    </row>
    <row r="90" spans="1:52">
      <c r="B90" s="33" t="s">
        <v>327</v>
      </c>
      <c r="C90" s="54">
        <f t="shared" ref="C90:H90" si="35">SUM(C80+C88)</f>
        <v>0</v>
      </c>
      <c r="D90" s="54">
        <f t="shared" si="35"/>
        <v>293719.31309749995</v>
      </c>
      <c r="E90" s="54">
        <f t="shared" si="35"/>
        <v>433408.3927524999</v>
      </c>
      <c r="F90" s="54">
        <f t="shared" si="35"/>
        <v>212077.61343749997</v>
      </c>
      <c r="G90" s="54">
        <f t="shared" si="35"/>
        <v>110180.73229751611</v>
      </c>
      <c r="H90" s="54">
        <f t="shared" si="35"/>
        <v>58966.639832196677</v>
      </c>
      <c r="I90" s="78"/>
      <c r="J90" s="54">
        <f t="shared" ref="J90:AL90" si="36">SUM(J80+J88)</f>
        <v>70142.755907499988</v>
      </c>
      <c r="K90" s="54">
        <f t="shared" si="36"/>
        <v>64142.755907499988</v>
      </c>
      <c r="L90" s="54">
        <f t="shared" si="36"/>
        <v>64422.755907499988</v>
      </c>
      <c r="M90" s="54">
        <f t="shared" si="36"/>
        <v>95011.045374999987</v>
      </c>
      <c r="N90" s="54"/>
      <c r="O90" s="54">
        <f t="shared" si="36"/>
        <v>70142.755907499988</v>
      </c>
      <c r="P90" s="54">
        <f t="shared" si="36"/>
        <v>64142.755907499988</v>
      </c>
      <c r="Q90" s="54">
        <f t="shared" si="36"/>
        <v>0</v>
      </c>
      <c r="R90" s="54">
        <f t="shared" si="36"/>
        <v>47645.522687499993</v>
      </c>
      <c r="S90" s="54">
        <f t="shared" si="36"/>
        <v>0</v>
      </c>
      <c r="T90" s="54">
        <f t="shared" si="36"/>
        <v>0</v>
      </c>
      <c r="U90" s="54">
        <f t="shared" si="36"/>
        <v>21470.261343749997</v>
      </c>
      <c r="V90" s="54">
        <f t="shared" si="36"/>
        <v>47645.522687499993</v>
      </c>
      <c r="W90" s="54">
        <f t="shared" si="36"/>
        <v>0</v>
      </c>
      <c r="X90" s="54">
        <f t="shared" si="36"/>
        <v>21053.761343749997</v>
      </c>
      <c r="Y90" s="54">
        <f t="shared" si="36"/>
        <v>21053.761343749997</v>
      </c>
      <c r="Z90" s="54">
        <f t="shared" si="36"/>
        <v>0</v>
      </c>
      <c r="AA90" s="54">
        <f t="shared" si="36"/>
        <v>21053.761343749997</v>
      </c>
      <c r="AB90" s="54">
        <f t="shared" si="36"/>
        <v>0</v>
      </c>
      <c r="AC90" s="54">
        <f t="shared" si="36"/>
        <v>34328.160000000003</v>
      </c>
      <c r="AD90" s="54">
        <f t="shared" si="36"/>
        <v>42456.607499999998</v>
      </c>
      <c r="AE90" s="54">
        <f t="shared" si="36"/>
        <v>42415.522687499993</v>
      </c>
      <c r="AF90" s="54">
        <f t="shared" si="36"/>
        <v>0</v>
      </c>
      <c r="AG90" s="54">
        <f t="shared" si="36"/>
        <v>0</v>
      </c>
      <c r="AH90" s="54">
        <f t="shared" si="36"/>
        <v>42415.522687499993</v>
      </c>
      <c r="AI90" s="54">
        <f t="shared" si="36"/>
        <v>42415.522687499993</v>
      </c>
      <c r="AJ90" s="54">
        <f t="shared" si="36"/>
        <v>42415.522687499993</v>
      </c>
      <c r="AK90" s="54">
        <f>SUM(AK80+AK88)</f>
        <v>42415.522687499993</v>
      </c>
      <c r="AL90" s="54">
        <f t="shared" si="36"/>
        <v>42415.522687499993</v>
      </c>
      <c r="AM90" s="74"/>
      <c r="AN90" s="54">
        <f t="shared" ref="AN90:AS90" si="37">SUM(AN80+AN88)</f>
        <v>15990.707155629145</v>
      </c>
      <c r="AO90" s="54">
        <f t="shared" si="37"/>
        <v>26386.546449401012</v>
      </c>
      <c r="AP90" s="54">
        <f t="shared" si="37"/>
        <v>22669.644250000001</v>
      </c>
      <c r="AQ90" s="54">
        <f t="shared" si="37"/>
        <v>26381.717308648829</v>
      </c>
      <c r="AR90" s="54">
        <f t="shared" si="37"/>
        <v>20276.734500000002</v>
      </c>
      <c r="AS90" s="54">
        <f t="shared" si="37"/>
        <v>13750</v>
      </c>
      <c r="AT90" s="39">
        <f>+AT80+AT88</f>
        <v>19022.04</v>
      </c>
      <c r="AU90" s="39">
        <f>+AU80+AU88</f>
        <v>40491.268492360003</v>
      </c>
      <c r="AV90" s="39">
        <f>+AV80+AV88</f>
        <v>0</v>
      </c>
      <c r="AW90" s="39">
        <f>+AW80+AW88</f>
        <v>33613.959330000005</v>
      </c>
      <c r="AX90" s="39">
        <f>+AX80+AX88</f>
        <v>10902.972668791499</v>
      </c>
      <c r="AY90" s="78"/>
      <c r="AZ90" s="41">
        <f>+AZ80+AZ88</f>
        <v>1337838.281572043</v>
      </c>
    </row>
    <row r="91" spans="1:52">
      <c r="C91" s="54"/>
      <c r="D91" s="54"/>
      <c r="E91" s="54"/>
      <c r="F91" s="54"/>
      <c r="G91" s="54"/>
      <c r="H91" s="54"/>
      <c r="I91" s="78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74"/>
      <c r="AN91" s="39"/>
      <c r="AO91" s="54"/>
      <c r="AP91" s="39"/>
      <c r="AQ91" s="39"/>
      <c r="AR91" s="39"/>
      <c r="AS91" s="39"/>
      <c r="AT91" s="39"/>
      <c r="AU91" s="39"/>
      <c r="AV91" s="39"/>
      <c r="AW91" s="39"/>
      <c r="AX91" s="39"/>
      <c r="AY91" s="78"/>
      <c r="AZ91" s="57"/>
    </row>
    <row r="92" spans="1:52">
      <c r="A92" s="33" t="s">
        <v>328</v>
      </c>
      <c r="C92" s="54"/>
      <c r="D92" s="54"/>
      <c r="E92" s="54"/>
      <c r="F92" s="54"/>
      <c r="G92" s="54"/>
      <c r="H92" s="54"/>
      <c r="I92" s="78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74"/>
      <c r="AN92" s="39"/>
      <c r="AO92" s="54"/>
      <c r="AP92" s="39"/>
      <c r="AQ92" s="39"/>
      <c r="AR92" s="39"/>
      <c r="AS92" s="39"/>
      <c r="AT92" s="39"/>
      <c r="AU92" s="39"/>
      <c r="AV92" s="39"/>
      <c r="AW92" s="39"/>
      <c r="AX92" s="39"/>
      <c r="AY92" s="78"/>
      <c r="AZ92" s="57"/>
    </row>
    <row r="93" spans="1:52">
      <c r="A93" s="33" t="s">
        <v>25</v>
      </c>
      <c r="B93" s="33" t="s">
        <v>33</v>
      </c>
      <c r="C93" s="54"/>
      <c r="D93" s="54">
        <f>SUM(J93:M93)</f>
        <v>28151.423999999999</v>
      </c>
      <c r="E93" s="71">
        <f t="shared" ref="E93:E101" si="38">SUM(O93:AG93)</f>
        <v>38708.207999999999</v>
      </c>
      <c r="F93" s="71">
        <f t="shared" ref="F93:F101" si="39">SUM(AH93:AL93)</f>
        <v>17594.64</v>
      </c>
      <c r="G93" s="54">
        <f>+G$7*139.64*2*1.05*12</f>
        <v>7037.8559999999998</v>
      </c>
      <c r="H93" s="54">
        <f>+H$7*139.64*2*1.05*12</f>
        <v>3518.9279999999999</v>
      </c>
      <c r="I93" s="78"/>
      <c r="J93" s="54">
        <f t="shared" ref="J93:AD93" si="40">+J$7*139.64*2*1.05*12</f>
        <v>7037.8559999999998</v>
      </c>
      <c r="K93" s="54">
        <f t="shared" si="40"/>
        <v>7037.8559999999998</v>
      </c>
      <c r="L93" s="54">
        <f t="shared" si="40"/>
        <v>7037.8559999999998</v>
      </c>
      <c r="M93" s="54">
        <f t="shared" si="40"/>
        <v>7037.8559999999998</v>
      </c>
      <c r="N93" s="54"/>
      <c r="O93" s="54">
        <f t="shared" si="40"/>
        <v>7037.8559999999998</v>
      </c>
      <c r="P93" s="54">
        <f t="shared" si="40"/>
        <v>7037.8559999999998</v>
      </c>
      <c r="Q93" s="54">
        <f t="shared" si="40"/>
        <v>0</v>
      </c>
      <c r="R93" s="54">
        <f t="shared" si="40"/>
        <v>3518.9279999999999</v>
      </c>
      <c r="S93" s="54">
        <f t="shared" si="40"/>
        <v>0</v>
      </c>
      <c r="T93" s="54">
        <f t="shared" si="40"/>
        <v>0</v>
      </c>
      <c r="U93" s="54">
        <f t="shared" si="40"/>
        <v>1759.4639999999999</v>
      </c>
      <c r="V93" s="54">
        <f t="shared" si="40"/>
        <v>3518.9279999999999</v>
      </c>
      <c r="W93" s="54">
        <f t="shared" si="40"/>
        <v>0</v>
      </c>
      <c r="X93" s="54">
        <f t="shared" si="40"/>
        <v>1759.4639999999999</v>
      </c>
      <c r="Y93" s="54">
        <f t="shared" si="40"/>
        <v>1759.4639999999999</v>
      </c>
      <c r="Z93" s="54">
        <f t="shared" si="40"/>
        <v>0</v>
      </c>
      <c r="AA93" s="54">
        <f t="shared" si="40"/>
        <v>1759.4639999999999</v>
      </c>
      <c r="AB93" s="54">
        <f t="shared" si="40"/>
        <v>0</v>
      </c>
      <c r="AC93" s="54">
        <f t="shared" si="40"/>
        <v>3518.9279999999999</v>
      </c>
      <c r="AD93" s="54">
        <f t="shared" si="40"/>
        <v>3518.9279999999999</v>
      </c>
      <c r="AE93" s="54">
        <f t="shared" ref="AE93:AL93" si="41">+AE$7*139.64*2*1.05*12</f>
        <v>3518.9279999999999</v>
      </c>
      <c r="AF93" s="54">
        <f t="shared" si="41"/>
        <v>0</v>
      </c>
      <c r="AG93" s="54">
        <f t="shared" si="41"/>
        <v>0</v>
      </c>
      <c r="AH93" s="54">
        <f t="shared" si="41"/>
        <v>3518.9279999999999</v>
      </c>
      <c r="AI93" s="54">
        <f t="shared" si="41"/>
        <v>3518.9279999999999</v>
      </c>
      <c r="AJ93" s="54">
        <f t="shared" si="41"/>
        <v>3518.9279999999999</v>
      </c>
      <c r="AK93" s="54">
        <f t="shared" si="41"/>
        <v>3518.9279999999999</v>
      </c>
      <c r="AL93" s="54">
        <f t="shared" si="41"/>
        <v>3518.9279999999999</v>
      </c>
      <c r="AM93" s="74"/>
      <c r="AN93" s="39">
        <f t="shared" ref="AN93:AS93" si="42">+AN$7*3410.5</f>
        <v>852.625</v>
      </c>
      <c r="AO93" s="39">
        <f t="shared" si="42"/>
        <v>1705.25</v>
      </c>
      <c r="AP93" s="39">
        <f t="shared" si="42"/>
        <v>1705.25</v>
      </c>
      <c r="AQ93" s="39">
        <f t="shared" si="42"/>
        <v>1705.25</v>
      </c>
      <c r="AR93" s="39">
        <f t="shared" si="42"/>
        <v>1705.25</v>
      </c>
      <c r="AS93" s="39">
        <f t="shared" si="42"/>
        <v>852.625</v>
      </c>
      <c r="AT93" s="61">
        <f ca="1">SUM(PT!E93)</f>
        <v>0</v>
      </c>
      <c r="AU93" s="39">
        <f>+AU$7*3410.5</f>
        <v>6821</v>
      </c>
      <c r="AV93" s="39">
        <f>+AV$7*3410.5</f>
        <v>0</v>
      </c>
      <c r="AW93" s="39">
        <f>+AW$7*3410.5</f>
        <v>6821</v>
      </c>
      <c r="AX93" s="39">
        <f>+AX$7*3410.5</f>
        <v>852.625</v>
      </c>
      <c r="AY93" s="78"/>
      <c r="AZ93" s="67">
        <f t="shared" ref="AZ93:AZ101" si="43">SUM(C93:H93)+SUM(AN93:AX93)</f>
        <v>118031.931</v>
      </c>
    </row>
    <row r="94" spans="1:52">
      <c r="A94" s="33" t="s">
        <v>26</v>
      </c>
      <c r="B94" s="33" t="s">
        <v>34</v>
      </c>
      <c r="C94" s="54"/>
      <c r="D94" s="54">
        <f>SUM(J94:M94)</f>
        <v>1711.6415999999999</v>
      </c>
      <c r="E94" s="71">
        <f t="shared" si="38"/>
        <v>2353.5071999999996</v>
      </c>
      <c r="F94" s="71">
        <f t="shared" si="39"/>
        <v>1069.7759999999998</v>
      </c>
      <c r="G94" s="54">
        <f>+G$7*8.74*2*1.02*12</f>
        <v>427.91039999999998</v>
      </c>
      <c r="H94" s="54">
        <f>+H$7*8.74*2*1.02*12</f>
        <v>213.95519999999999</v>
      </c>
      <c r="I94" s="78"/>
      <c r="J94" s="54">
        <f t="shared" ref="J94:AG94" si="44">+J$7*8.74*2*1.02*12</f>
        <v>427.91039999999998</v>
      </c>
      <c r="K94" s="54">
        <f t="shared" si="44"/>
        <v>427.91039999999998</v>
      </c>
      <c r="L94" s="54">
        <f t="shared" si="44"/>
        <v>427.91039999999998</v>
      </c>
      <c r="M94" s="54">
        <f t="shared" si="44"/>
        <v>427.91039999999998</v>
      </c>
      <c r="N94" s="54"/>
      <c r="O94" s="54">
        <f t="shared" si="44"/>
        <v>427.91039999999998</v>
      </c>
      <c r="P94" s="54">
        <f t="shared" si="44"/>
        <v>427.91039999999998</v>
      </c>
      <c r="Q94" s="54">
        <f t="shared" si="44"/>
        <v>0</v>
      </c>
      <c r="R94" s="54">
        <f t="shared" si="44"/>
        <v>213.95519999999999</v>
      </c>
      <c r="S94" s="54">
        <f t="shared" si="44"/>
        <v>0</v>
      </c>
      <c r="T94" s="54">
        <f t="shared" si="44"/>
        <v>0</v>
      </c>
      <c r="U94" s="54">
        <f t="shared" si="44"/>
        <v>106.9776</v>
      </c>
      <c r="V94" s="54">
        <f t="shared" si="44"/>
        <v>213.95519999999999</v>
      </c>
      <c r="W94" s="54">
        <f t="shared" si="44"/>
        <v>0</v>
      </c>
      <c r="X94" s="54">
        <f t="shared" si="44"/>
        <v>106.9776</v>
      </c>
      <c r="Y94" s="54">
        <f t="shared" si="44"/>
        <v>106.9776</v>
      </c>
      <c r="Z94" s="54">
        <f t="shared" si="44"/>
        <v>0</v>
      </c>
      <c r="AA94" s="54">
        <f t="shared" si="44"/>
        <v>106.9776</v>
      </c>
      <c r="AB94" s="54">
        <f t="shared" si="44"/>
        <v>0</v>
      </c>
      <c r="AC94" s="54">
        <f t="shared" si="44"/>
        <v>213.95519999999999</v>
      </c>
      <c r="AD94" s="54">
        <f t="shared" si="44"/>
        <v>213.95519999999999</v>
      </c>
      <c r="AE94" s="54">
        <f t="shared" si="44"/>
        <v>213.95519999999999</v>
      </c>
      <c r="AF94" s="54">
        <f t="shared" si="44"/>
        <v>0</v>
      </c>
      <c r="AG94" s="54">
        <f t="shared" si="44"/>
        <v>0</v>
      </c>
      <c r="AH94" s="54">
        <f>+AH$7*8.74*2*1.02*12</f>
        <v>213.95519999999999</v>
      </c>
      <c r="AI94" s="54">
        <f>+AI$7*8.74*2*1.02*12</f>
        <v>213.95519999999999</v>
      </c>
      <c r="AJ94" s="54">
        <f>+AJ$7*8.74*2*1.02*12</f>
        <v>213.95519999999999</v>
      </c>
      <c r="AK94" s="54">
        <f>+AK$7*8.74*2*1.02*12</f>
        <v>213.95519999999999</v>
      </c>
      <c r="AL94" s="54">
        <f>+AL$7*8.74*2*1.02*12</f>
        <v>213.95519999999999</v>
      </c>
      <c r="AM94" s="74"/>
      <c r="AN94" s="39">
        <f>+AN$7*8.74*2*1.02*12*0.67</f>
        <v>35.837496000000002</v>
      </c>
      <c r="AO94" s="54">
        <f>+AO$7*8.74*2*1.02*12</f>
        <v>106.9776</v>
      </c>
      <c r="AP94" s="39">
        <f>+AP$7*8.74*2*1.02*12*0.67</f>
        <v>71.674992000000003</v>
      </c>
      <c r="AQ94" s="39">
        <f>+AQ$7*8.74*2*1.02*12*0.67</f>
        <v>71.674992000000003</v>
      </c>
      <c r="AR94" s="39">
        <f>+AR$7*8.74*2*1.02*12*0.67</f>
        <v>71.674992000000003</v>
      </c>
      <c r="AS94" s="39">
        <f>+AS$7*8.74*2*1.02*12*0.67</f>
        <v>35.837496000000002</v>
      </c>
      <c r="AT94" s="61">
        <f ca="1">SUM(PT!E94)</f>
        <v>0</v>
      </c>
      <c r="AU94" s="61">
        <f ca="1">SUM(FC!U94)</f>
        <v>0</v>
      </c>
      <c r="AV94" s="61">
        <v>0</v>
      </c>
      <c r="AW94" s="61">
        <f ca="1">SUM(FS!U94)</f>
        <v>0</v>
      </c>
      <c r="AX94" s="61">
        <f ca="1">SUM(IT!U94)</f>
        <v>0</v>
      </c>
      <c r="AY94" s="87"/>
      <c r="AZ94" s="67">
        <f t="shared" si="43"/>
        <v>6170.467967999999</v>
      </c>
    </row>
    <row r="95" spans="1:52">
      <c r="A95" s="33" t="s">
        <v>28</v>
      </c>
      <c r="B95" s="33" t="s">
        <v>27</v>
      </c>
      <c r="C95" s="54"/>
      <c r="D95" s="54">
        <f>(+D$88-D$84+D$80)*0.062</f>
        <v>18123.797412044998</v>
      </c>
      <c r="E95" s="71">
        <f t="shared" si="38"/>
        <v>26391.099350655</v>
      </c>
      <c r="F95" s="71">
        <f t="shared" si="39"/>
        <v>12823.312033124999</v>
      </c>
      <c r="G95" s="54">
        <f>(+G$88-G$84+G$80)*0.062</f>
        <v>6831.2054024459985</v>
      </c>
      <c r="H95" s="54">
        <f>(+H$88-H$84+H$80)*0.062</f>
        <v>3655.9316695961938</v>
      </c>
      <c r="I95" s="78"/>
      <c r="J95" s="54">
        <f t="shared" ref="J95:AG95" si="45">(+J$88-J$84+J$80)*0.062</f>
        <v>4331.4908662649996</v>
      </c>
      <c r="K95" s="54">
        <f t="shared" si="45"/>
        <v>3959.4908662649991</v>
      </c>
      <c r="L95" s="54">
        <f t="shared" si="45"/>
        <v>3959.4908662649991</v>
      </c>
      <c r="M95" s="54">
        <f t="shared" si="45"/>
        <v>5873.3248132499994</v>
      </c>
      <c r="N95" s="54"/>
      <c r="O95" s="54">
        <f t="shared" si="45"/>
        <v>4331.4908662649996</v>
      </c>
      <c r="P95" s="54">
        <f t="shared" si="45"/>
        <v>3959.4908662649991</v>
      </c>
      <c r="Q95" s="54">
        <f t="shared" si="45"/>
        <v>0</v>
      </c>
      <c r="R95" s="54">
        <f t="shared" si="45"/>
        <v>2936.6624066249997</v>
      </c>
      <c r="S95" s="54">
        <f t="shared" si="45"/>
        <v>0</v>
      </c>
      <c r="T95" s="54">
        <f t="shared" si="45"/>
        <v>0</v>
      </c>
      <c r="U95" s="54">
        <f t="shared" si="45"/>
        <v>1282.3312033124998</v>
      </c>
      <c r="V95" s="54">
        <f t="shared" si="45"/>
        <v>2936.6624066249997</v>
      </c>
      <c r="W95" s="54">
        <f t="shared" si="45"/>
        <v>0</v>
      </c>
      <c r="X95" s="54">
        <f t="shared" si="45"/>
        <v>1282.3312033124998</v>
      </c>
      <c r="Y95" s="54">
        <f t="shared" si="45"/>
        <v>1282.3312033124998</v>
      </c>
      <c r="Z95" s="54">
        <f t="shared" si="45"/>
        <v>0</v>
      </c>
      <c r="AA95" s="54">
        <f t="shared" si="45"/>
        <v>1282.3312033124998</v>
      </c>
      <c r="AB95" s="54">
        <f t="shared" si="45"/>
        <v>0</v>
      </c>
      <c r="AC95" s="54">
        <f t="shared" si="45"/>
        <v>2030.6959199999999</v>
      </c>
      <c r="AD95" s="54">
        <f t="shared" si="45"/>
        <v>2502.1096649999999</v>
      </c>
      <c r="AE95" s="54">
        <f t="shared" si="45"/>
        <v>2564.6624066249997</v>
      </c>
      <c r="AF95" s="54">
        <f t="shared" si="45"/>
        <v>0</v>
      </c>
      <c r="AG95" s="54">
        <f t="shared" si="45"/>
        <v>0</v>
      </c>
      <c r="AH95" s="54">
        <f>(+AH$88-AH$84+AH$80)*0.062</f>
        <v>2564.6624066249997</v>
      </c>
      <c r="AI95" s="54">
        <f>(+AI$88-AI$84+AI$80)*0.062</f>
        <v>2564.6624066249997</v>
      </c>
      <c r="AJ95" s="54">
        <f>(+AJ$88-AJ$84+AJ$80)*0.062</f>
        <v>2564.6624066249997</v>
      </c>
      <c r="AK95" s="54">
        <f>(+AK$88-AK$84+AK$80)*0.062</f>
        <v>2564.6624066249997</v>
      </c>
      <c r="AL95" s="54">
        <f>(+AL$88-AL$84+AL$80)*0.062</f>
        <v>2564.6624066249997</v>
      </c>
      <c r="AM95" s="74"/>
      <c r="AN95" s="39">
        <f t="shared" ref="AN95:AS95" si="46">(+AN$88-AN$84+AN$80)*0.062</f>
        <v>991.42384364900693</v>
      </c>
      <c r="AO95" s="54">
        <f t="shared" si="46"/>
        <v>1635.9658798628627</v>
      </c>
      <c r="AP95" s="39">
        <f t="shared" si="46"/>
        <v>1405.5179435</v>
      </c>
      <c r="AQ95" s="39">
        <f t="shared" si="46"/>
        <v>1635.6664731362273</v>
      </c>
      <c r="AR95" s="39">
        <f t="shared" si="46"/>
        <v>1257.157539</v>
      </c>
      <c r="AS95" s="39">
        <f t="shared" si="46"/>
        <v>852.5</v>
      </c>
      <c r="AT95" s="61">
        <f ca="1">SUM(PT!E95)</f>
        <v>1179.3664800000001</v>
      </c>
      <c r="AU95" s="39">
        <f>(+AU$88-AU$84+AU$80)*0.062</f>
        <v>2510.4586465263201</v>
      </c>
      <c r="AV95" s="39">
        <f>(+AV$88-AV$84+AV$80)*0.062</f>
        <v>0</v>
      </c>
      <c r="AW95" s="39">
        <f>(+AW$88-AW$84+AW$80)*0.062</f>
        <v>2005.9454784600002</v>
      </c>
      <c r="AX95" s="39">
        <f>(+AX$88-AX$84+AX$80)*0.062</f>
        <v>675.98430546507291</v>
      </c>
      <c r="AY95" s="87"/>
      <c r="AZ95" s="67">
        <f t="shared" si="43"/>
        <v>81975.332457466677</v>
      </c>
    </row>
    <row r="96" spans="1:52">
      <c r="A96" s="33" t="s">
        <v>30</v>
      </c>
      <c r="B96" s="33" t="s">
        <v>29</v>
      </c>
      <c r="C96" s="54"/>
      <c r="D96" s="54">
        <f>(+D$88-D$84+D$80)*0.0145</f>
        <v>4238.6300399137499</v>
      </c>
      <c r="E96" s="71">
        <f t="shared" si="38"/>
        <v>6172.1119449112502</v>
      </c>
      <c r="F96" s="71">
        <f t="shared" si="39"/>
        <v>2999.0003948437497</v>
      </c>
      <c r="G96" s="54">
        <f>(+G$88-G$84+G$80)*0.0145</f>
        <v>1597.6206183139836</v>
      </c>
      <c r="H96" s="54">
        <f>(+H$88-H$84+H$80)*0.0145</f>
        <v>855.01627756685184</v>
      </c>
      <c r="I96" s="78"/>
      <c r="J96" s="54">
        <f t="shared" ref="J96:AG96" si="47">(+J$88-J$84+J$80)*0.0145</f>
        <v>1013.0099606587498</v>
      </c>
      <c r="K96" s="54">
        <f t="shared" si="47"/>
        <v>926.00996065874983</v>
      </c>
      <c r="L96" s="54">
        <f t="shared" si="47"/>
        <v>926.00996065874983</v>
      </c>
      <c r="M96" s="54">
        <f t="shared" si="47"/>
        <v>1373.6001579374999</v>
      </c>
      <c r="N96" s="54"/>
      <c r="O96" s="54">
        <f t="shared" si="47"/>
        <v>1013.0099606587498</v>
      </c>
      <c r="P96" s="54">
        <f t="shared" si="47"/>
        <v>926.00996065874983</v>
      </c>
      <c r="Q96" s="54">
        <f t="shared" si="47"/>
        <v>0</v>
      </c>
      <c r="R96" s="54">
        <f t="shared" si="47"/>
        <v>686.80007896874997</v>
      </c>
      <c r="S96" s="54">
        <f t="shared" si="47"/>
        <v>0</v>
      </c>
      <c r="T96" s="54">
        <f t="shared" si="47"/>
        <v>0</v>
      </c>
      <c r="U96" s="54">
        <f t="shared" si="47"/>
        <v>299.90003948437499</v>
      </c>
      <c r="V96" s="54">
        <f t="shared" si="47"/>
        <v>686.80007896874997</v>
      </c>
      <c r="W96" s="54">
        <f t="shared" si="47"/>
        <v>0</v>
      </c>
      <c r="X96" s="54">
        <f t="shared" si="47"/>
        <v>299.90003948437499</v>
      </c>
      <c r="Y96" s="54">
        <f t="shared" si="47"/>
        <v>299.90003948437499</v>
      </c>
      <c r="Z96" s="54">
        <f t="shared" si="47"/>
        <v>0</v>
      </c>
      <c r="AA96" s="54">
        <f t="shared" si="47"/>
        <v>299.90003948437499</v>
      </c>
      <c r="AB96" s="54">
        <f t="shared" si="47"/>
        <v>0</v>
      </c>
      <c r="AC96" s="54">
        <f t="shared" si="47"/>
        <v>474.92082000000005</v>
      </c>
      <c r="AD96" s="54">
        <f t="shared" si="47"/>
        <v>585.17080874999999</v>
      </c>
      <c r="AE96" s="54">
        <f t="shared" si="47"/>
        <v>599.80007896874997</v>
      </c>
      <c r="AF96" s="54">
        <f t="shared" si="47"/>
        <v>0</v>
      </c>
      <c r="AG96" s="54">
        <f t="shared" si="47"/>
        <v>0</v>
      </c>
      <c r="AH96" s="54">
        <f>(+AH$88-AH$84+AH$80)*0.0145</f>
        <v>599.80007896874997</v>
      </c>
      <c r="AI96" s="54">
        <f>(+AI$88-AI$84+AI$80)*0.0145</f>
        <v>599.80007896874997</v>
      </c>
      <c r="AJ96" s="54">
        <f>(+AJ$88-AJ$84+AJ$80)*0.0145</f>
        <v>599.80007896874997</v>
      </c>
      <c r="AK96" s="54">
        <f>(+AK$88-AK$84+AK$80)*0.0145</f>
        <v>599.80007896874997</v>
      </c>
      <c r="AL96" s="54">
        <f>(+AL$88-AL$84+AL$80)*0.0145</f>
        <v>599.80007896874997</v>
      </c>
      <c r="AM96" s="74"/>
      <c r="AN96" s="39">
        <f t="shared" ref="AN96:AS96" si="48">(+AN$88-AN$84+AN$80)*0.0145</f>
        <v>231.86525375662262</v>
      </c>
      <c r="AO96" s="54">
        <f t="shared" si="48"/>
        <v>382.60492351631467</v>
      </c>
      <c r="AP96" s="39">
        <f t="shared" si="48"/>
        <v>328.70984162500002</v>
      </c>
      <c r="AQ96" s="39">
        <f t="shared" si="48"/>
        <v>382.53490097540805</v>
      </c>
      <c r="AR96" s="39">
        <f t="shared" si="48"/>
        <v>294.01265025000004</v>
      </c>
      <c r="AS96" s="39">
        <f t="shared" si="48"/>
        <v>199.375</v>
      </c>
      <c r="AT96" s="61">
        <f ca="1">SUM(PT!E96)</f>
        <v>275.81958000000003</v>
      </c>
      <c r="AU96" s="39">
        <f>(+AU$88-AU$84+AU$80)*0.0145</f>
        <v>587.12339313922007</v>
      </c>
      <c r="AV96" s="39">
        <f>(+AV$88-AV$84+AV$80)*0.0145</f>
        <v>0</v>
      </c>
      <c r="AW96" s="39">
        <f>(+AW$88-AW$84+AW$80)*0.0145</f>
        <v>469.13241028500011</v>
      </c>
      <c r="AX96" s="39">
        <f>(+AX$88-AX$84+AX$80)*0.0145</f>
        <v>158.09310369747675</v>
      </c>
      <c r="AY96" s="87"/>
      <c r="AZ96" s="67">
        <f t="shared" si="43"/>
        <v>19171.650332794627</v>
      </c>
    </row>
    <row r="97" spans="1:52">
      <c r="A97" s="33" t="s">
        <v>31</v>
      </c>
      <c r="B97" s="33" t="s">
        <v>32</v>
      </c>
      <c r="C97" s="54"/>
      <c r="D97" s="54">
        <f>(+D$88-D$84+D$80)*0.06</f>
        <v>17539.158785849995</v>
      </c>
      <c r="E97" s="71">
        <f t="shared" si="38"/>
        <v>25539.773565149997</v>
      </c>
      <c r="F97" s="71">
        <f t="shared" si="39"/>
        <v>12409.656806249997</v>
      </c>
      <c r="G97" s="54">
        <f>(+G$88-G$84+G$80)*0.06</f>
        <v>6610.8439378509665</v>
      </c>
      <c r="H97" s="54">
        <f>(+H$88-H$84+H$80)*0.06</f>
        <v>3537.9983899318004</v>
      </c>
      <c r="I97" s="78"/>
      <c r="J97" s="54">
        <f t="shared" ref="J97:AG97" si="49">(+J$88-J$84+J$80)*0.06</f>
        <v>4191.765354449999</v>
      </c>
      <c r="K97" s="54">
        <f t="shared" si="49"/>
        <v>3831.765354449999</v>
      </c>
      <c r="L97" s="54">
        <f t="shared" si="49"/>
        <v>3831.765354449999</v>
      </c>
      <c r="M97" s="54">
        <f t="shared" si="49"/>
        <v>5683.8627224999991</v>
      </c>
      <c r="N97" s="54"/>
      <c r="O97" s="54">
        <f t="shared" si="49"/>
        <v>4191.765354449999</v>
      </c>
      <c r="P97" s="54">
        <f t="shared" si="49"/>
        <v>3831.765354449999</v>
      </c>
      <c r="Q97" s="54">
        <f t="shared" si="49"/>
        <v>0</v>
      </c>
      <c r="R97" s="54">
        <f t="shared" si="49"/>
        <v>2841.9313612499996</v>
      </c>
      <c r="S97" s="54">
        <f t="shared" si="49"/>
        <v>0</v>
      </c>
      <c r="T97" s="54">
        <f t="shared" si="49"/>
        <v>0</v>
      </c>
      <c r="U97" s="54">
        <f t="shared" si="49"/>
        <v>1240.9656806249998</v>
      </c>
      <c r="V97" s="54">
        <f t="shared" si="49"/>
        <v>2841.9313612499996</v>
      </c>
      <c r="W97" s="54">
        <f t="shared" si="49"/>
        <v>0</v>
      </c>
      <c r="X97" s="54">
        <f t="shared" si="49"/>
        <v>1240.9656806249998</v>
      </c>
      <c r="Y97" s="54">
        <f t="shared" si="49"/>
        <v>1240.9656806249998</v>
      </c>
      <c r="Z97" s="54">
        <f t="shared" si="49"/>
        <v>0</v>
      </c>
      <c r="AA97" s="54">
        <f t="shared" si="49"/>
        <v>1240.9656806249998</v>
      </c>
      <c r="AB97" s="54">
        <f t="shared" si="49"/>
        <v>0</v>
      </c>
      <c r="AC97" s="54">
        <f t="shared" si="49"/>
        <v>1965.1895999999999</v>
      </c>
      <c r="AD97" s="54">
        <f t="shared" si="49"/>
        <v>2421.3964499999997</v>
      </c>
      <c r="AE97" s="54">
        <f t="shared" si="49"/>
        <v>2481.9313612499996</v>
      </c>
      <c r="AF97" s="54">
        <f t="shared" si="49"/>
        <v>0</v>
      </c>
      <c r="AG97" s="54">
        <f t="shared" si="49"/>
        <v>0</v>
      </c>
      <c r="AH97" s="54">
        <f>(+AH$88-AH$84+AH$80)*0.06</f>
        <v>2481.9313612499996</v>
      </c>
      <c r="AI97" s="54">
        <f>(+AI$88-AI$84+AI$80)*0.06</f>
        <v>2481.9313612499996</v>
      </c>
      <c r="AJ97" s="54">
        <f>(+AJ$88-AJ$84+AJ$80)*0.06</f>
        <v>2481.9313612499996</v>
      </c>
      <c r="AK97" s="54">
        <f>(+AK$88-AK$84+AK$80)*0.06</f>
        <v>2481.9313612499996</v>
      </c>
      <c r="AL97" s="54">
        <f>(+AL$88-AL$84+AL$80)*0.06</f>
        <v>2481.9313612499996</v>
      </c>
      <c r="AM97" s="74"/>
      <c r="AN97" s="39">
        <f>(+AN$88-AN$84+AN$80)*0.06*0.65</f>
        <v>623.63757906953663</v>
      </c>
      <c r="AO97" s="54">
        <f>(+AO$88-AO$84+AO$80)*0.06</f>
        <v>1583.1927869640606</v>
      </c>
      <c r="AP97" s="39">
        <f>(+AP$88-AP$84+AP$80)*0.06*0.65</f>
        <v>884.11612575000004</v>
      </c>
      <c r="AQ97" s="39">
        <f>(+AQ$88-AQ$84+AQ$80)*0.06*0.65</f>
        <v>1028.8869750373044</v>
      </c>
      <c r="AR97" s="39">
        <f>(+AR$88-AR$84+AR$80)*0.06*0.65</f>
        <v>790.79264550000005</v>
      </c>
      <c r="AS97" s="39">
        <f>(+AS$88-AS$84+AS$80)*0.06*0.65</f>
        <v>536.25</v>
      </c>
      <c r="AT97" s="61">
        <f ca="1">SUM(PT!E97)</f>
        <v>570.66120000000001</v>
      </c>
      <c r="AU97" s="39">
        <f>(+AU$88-AU$84+AU$80)*0.06*0.5</f>
        <v>1214.7380547708001</v>
      </c>
      <c r="AV97" s="39">
        <f>(+AV$88-AV$84+AV$80)*0.06*0.5</f>
        <v>0</v>
      </c>
      <c r="AW97" s="39">
        <f>(+AW$88-AW$84+AW$80)*0.06*0.5</f>
        <v>970.61877990000016</v>
      </c>
      <c r="AX97" s="39">
        <f>(+AX$88-AX$84+AX$80)*0.06*0.5</f>
        <v>327.08918006374495</v>
      </c>
      <c r="AY97" s="87"/>
      <c r="AZ97" s="67">
        <f t="shared" si="43"/>
        <v>74167.414812088216</v>
      </c>
    </row>
    <row r="98" spans="1:52">
      <c r="A98" s="33" t="s">
        <v>36</v>
      </c>
      <c r="B98" s="33" t="s">
        <v>35</v>
      </c>
      <c r="C98" s="54"/>
      <c r="D98" s="54">
        <f>(+D$88-D$84+D$80)*0.0056</f>
        <v>1636.9881533459998</v>
      </c>
      <c r="E98" s="71">
        <f t="shared" si="38"/>
        <v>2383.7121994140002</v>
      </c>
      <c r="F98" s="71">
        <f t="shared" si="39"/>
        <v>1158.2346352499999</v>
      </c>
      <c r="G98" s="54">
        <f>(+G$88-G$84+G$80)*0.0056</f>
        <v>617.01210086609024</v>
      </c>
      <c r="H98" s="54">
        <f>(+H$88-H$84+H$80)*0.0056</f>
        <v>330.21318306030139</v>
      </c>
      <c r="I98" s="78"/>
      <c r="J98" s="54">
        <f t="shared" ref="J98:AG98" si="50">(+J$88-J$84+J$80)*0.0056</f>
        <v>391.23143308199991</v>
      </c>
      <c r="K98" s="54">
        <f t="shared" si="50"/>
        <v>357.63143308199994</v>
      </c>
      <c r="L98" s="54">
        <f t="shared" si="50"/>
        <v>357.63143308199994</v>
      </c>
      <c r="M98" s="54">
        <f t="shared" si="50"/>
        <v>530.49385409999991</v>
      </c>
      <c r="N98" s="54"/>
      <c r="O98" s="54">
        <f t="shared" si="50"/>
        <v>391.23143308199991</v>
      </c>
      <c r="P98" s="54">
        <f t="shared" si="50"/>
        <v>357.63143308199994</v>
      </c>
      <c r="Q98" s="54">
        <f t="shared" si="50"/>
        <v>0</v>
      </c>
      <c r="R98" s="54">
        <f t="shared" si="50"/>
        <v>265.24692704999995</v>
      </c>
      <c r="S98" s="54">
        <f t="shared" si="50"/>
        <v>0</v>
      </c>
      <c r="T98" s="54">
        <f t="shared" si="50"/>
        <v>0</v>
      </c>
      <c r="U98" s="54">
        <f t="shared" si="50"/>
        <v>115.82346352499998</v>
      </c>
      <c r="V98" s="54">
        <f t="shared" si="50"/>
        <v>265.24692704999995</v>
      </c>
      <c r="W98" s="54">
        <f t="shared" si="50"/>
        <v>0</v>
      </c>
      <c r="X98" s="54">
        <f t="shared" si="50"/>
        <v>115.82346352499998</v>
      </c>
      <c r="Y98" s="54">
        <f t="shared" si="50"/>
        <v>115.82346352499998</v>
      </c>
      <c r="Z98" s="54">
        <f t="shared" si="50"/>
        <v>0</v>
      </c>
      <c r="AA98" s="54">
        <f t="shared" si="50"/>
        <v>115.82346352499998</v>
      </c>
      <c r="AB98" s="54">
        <f t="shared" si="50"/>
        <v>0</v>
      </c>
      <c r="AC98" s="54">
        <f t="shared" si="50"/>
        <v>183.41769600000001</v>
      </c>
      <c r="AD98" s="54">
        <f t="shared" si="50"/>
        <v>225.99700199999998</v>
      </c>
      <c r="AE98" s="54">
        <f t="shared" si="50"/>
        <v>231.64692704999996</v>
      </c>
      <c r="AF98" s="54">
        <f t="shared" si="50"/>
        <v>0</v>
      </c>
      <c r="AG98" s="54">
        <f t="shared" si="50"/>
        <v>0</v>
      </c>
      <c r="AH98" s="54">
        <f>(+AH$88-AH$84+AH$80)*0.0056</f>
        <v>231.64692704999996</v>
      </c>
      <c r="AI98" s="54">
        <f>(+AI$88-AI$84+AI$80)*0.0056</f>
        <v>231.64692704999996</v>
      </c>
      <c r="AJ98" s="54">
        <f>(+AJ$88-AJ$84+AJ$80)*0.0056</f>
        <v>231.64692704999996</v>
      </c>
      <c r="AK98" s="54">
        <f>(+AK$88-AK$84+AK$80)*0.0056</f>
        <v>231.64692704999996</v>
      </c>
      <c r="AL98" s="54">
        <f>(+AL$88-AL$84+AL$80)*0.0056</f>
        <v>231.64692704999996</v>
      </c>
      <c r="AM98" s="74"/>
      <c r="AN98" s="39">
        <f t="shared" ref="AN98:AS98" si="51">(+AN$88-AN$84+AN$80)*0.0056</f>
        <v>89.547960071523207</v>
      </c>
      <c r="AO98" s="54">
        <f t="shared" si="51"/>
        <v>147.76466011664567</v>
      </c>
      <c r="AP98" s="39">
        <f t="shared" si="51"/>
        <v>126.95000780000001</v>
      </c>
      <c r="AQ98" s="39">
        <f t="shared" si="51"/>
        <v>147.73761692843345</v>
      </c>
      <c r="AR98" s="39">
        <f t="shared" si="51"/>
        <v>113.54971320000001</v>
      </c>
      <c r="AS98" s="39">
        <f t="shared" si="51"/>
        <v>77</v>
      </c>
      <c r="AT98" s="61">
        <f ca="1">SUM(PT!E98)</f>
        <v>106.52342400000001</v>
      </c>
      <c r="AU98" s="39">
        <f>(+AU$88-AU$84+AU$80)*0.0056</f>
        <v>226.75110355721603</v>
      </c>
      <c r="AV98" s="39">
        <f>(+AV$88-AV$84+AV$80)*0.0056</f>
        <v>0</v>
      </c>
      <c r="AW98" s="39">
        <f>(+AW$88-AW$84+AW$80)*0.0056</f>
        <v>181.18217224800003</v>
      </c>
      <c r="AX98" s="39">
        <f>(+AX$88-AX$84+AX$80)*0.0056</f>
        <v>61.056646945232394</v>
      </c>
      <c r="AY98" s="87"/>
      <c r="AZ98" s="67">
        <f t="shared" si="43"/>
        <v>7404.2235768034416</v>
      </c>
    </row>
    <row r="99" spans="1:52">
      <c r="A99" s="33" t="s">
        <v>38</v>
      </c>
      <c r="B99" s="33" t="s">
        <v>37</v>
      </c>
      <c r="C99" s="54"/>
      <c r="D99" s="54">
        <f>+D$7*7700*0.0201</f>
        <v>1238.1600000000001</v>
      </c>
      <c r="E99" s="71">
        <f t="shared" si="38"/>
        <v>1702.47</v>
      </c>
      <c r="F99" s="71">
        <f t="shared" si="39"/>
        <v>773.85</v>
      </c>
      <c r="G99" s="54">
        <f>+G$7*7700*0.0201</f>
        <v>309.54000000000002</v>
      </c>
      <c r="H99" s="54">
        <f>+H$7*7700*0.0201</f>
        <v>154.77000000000001</v>
      </c>
      <c r="I99" s="78"/>
      <c r="J99" s="54">
        <f t="shared" ref="J99:AG99" si="52">+J$7*7700*0.0201</f>
        <v>309.54000000000002</v>
      </c>
      <c r="K99" s="54">
        <f t="shared" si="52"/>
        <v>309.54000000000002</v>
      </c>
      <c r="L99" s="54">
        <f t="shared" si="52"/>
        <v>309.54000000000002</v>
      </c>
      <c r="M99" s="54">
        <f t="shared" si="52"/>
        <v>309.54000000000002</v>
      </c>
      <c r="N99" s="54"/>
      <c r="O99" s="54">
        <f t="shared" si="52"/>
        <v>309.54000000000002</v>
      </c>
      <c r="P99" s="54">
        <f t="shared" si="52"/>
        <v>309.54000000000002</v>
      </c>
      <c r="Q99" s="54">
        <f t="shared" si="52"/>
        <v>0</v>
      </c>
      <c r="R99" s="54">
        <f t="shared" si="52"/>
        <v>154.77000000000001</v>
      </c>
      <c r="S99" s="54">
        <f t="shared" si="52"/>
        <v>0</v>
      </c>
      <c r="T99" s="54">
        <f t="shared" si="52"/>
        <v>0</v>
      </c>
      <c r="U99" s="54">
        <f t="shared" si="52"/>
        <v>77.385000000000005</v>
      </c>
      <c r="V99" s="54">
        <f t="shared" si="52"/>
        <v>154.77000000000001</v>
      </c>
      <c r="W99" s="54">
        <f t="shared" si="52"/>
        <v>0</v>
      </c>
      <c r="X99" s="54">
        <f t="shared" si="52"/>
        <v>77.385000000000005</v>
      </c>
      <c r="Y99" s="54">
        <f t="shared" si="52"/>
        <v>77.385000000000005</v>
      </c>
      <c r="Z99" s="54">
        <f t="shared" si="52"/>
        <v>0</v>
      </c>
      <c r="AA99" s="54">
        <f t="shared" si="52"/>
        <v>77.385000000000005</v>
      </c>
      <c r="AB99" s="54">
        <f t="shared" si="52"/>
        <v>0</v>
      </c>
      <c r="AC99" s="54">
        <f t="shared" si="52"/>
        <v>154.77000000000001</v>
      </c>
      <c r="AD99" s="54">
        <f t="shared" si="52"/>
        <v>154.77000000000001</v>
      </c>
      <c r="AE99" s="54">
        <f t="shared" si="52"/>
        <v>154.77000000000001</v>
      </c>
      <c r="AF99" s="54">
        <f t="shared" si="52"/>
        <v>0</v>
      </c>
      <c r="AG99" s="54">
        <f t="shared" si="52"/>
        <v>0</v>
      </c>
      <c r="AH99" s="54">
        <f>+AH$7*7700*0.0201</f>
        <v>154.77000000000001</v>
      </c>
      <c r="AI99" s="54">
        <f>+AI$7*7700*0.0201</f>
        <v>154.77000000000001</v>
      </c>
      <c r="AJ99" s="54">
        <f>+AJ$7*7700*0.0201</f>
        <v>154.77000000000001</v>
      </c>
      <c r="AK99" s="54">
        <f>+AK$7*7700*0.0201</f>
        <v>154.77000000000001</v>
      </c>
      <c r="AL99" s="54">
        <f>+AL$7*7700*0.0201</f>
        <v>154.77000000000001</v>
      </c>
      <c r="AM99" s="74"/>
      <c r="AN99" s="39">
        <f t="shared" ref="AN99:AS99" si="53">+AN$7*7700*0.0201</f>
        <v>38.692500000000003</v>
      </c>
      <c r="AO99" s="54">
        <f t="shared" si="53"/>
        <v>77.385000000000005</v>
      </c>
      <c r="AP99" s="39">
        <f t="shared" si="53"/>
        <v>77.385000000000005</v>
      </c>
      <c r="AQ99" s="39">
        <f t="shared" si="53"/>
        <v>77.385000000000005</v>
      </c>
      <c r="AR99" s="39">
        <f t="shared" si="53"/>
        <v>77.385000000000005</v>
      </c>
      <c r="AS99" s="39">
        <f t="shared" si="53"/>
        <v>38.692500000000003</v>
      </c>
      <c r="AT99" s="61">
        <f ca="1">SUM(PT!E99)</f>
        <v>309.54000000000002</v>
      </c>
      <c r="AU99" s="39">
        <f>+AU$7*7700*0.0201</f>
        <v>309.54000000000002</v>
      </c>
      <c r="AV99" s="39">
        <f>+AV$7*7700*0.0201</f>
        <v>0</v>
      </c>
      <c r="AW99" s="39">
        <f>+AW$7*7700*0.0201</f>
        <v>309.54000000000002</v>
      </c>
      <c r="AX99" s="39">
        <f>+AX$7*7700*0.0201</f>
        <v>38.692500000000003</v>
      </c>
      <c r="AY99" s="87"/>
      <c r="AZ99" s="67">
        <f t="shared" si="43"/>
        <v>5533.0275000000001</v>
      </c>
    </row>
    <row r="100" spans="1:52">
      <c r="A100" s="33" t="s">
        <v>83</v>
      </c>
      <c r="B100" s="33" t="s">
        <v>84</v>
      </c>
      <c r="C100" s="54">
        <v>5000</v>
      </c>
      <c r="D100" s="54">
        <f>SUM(J100:M100)</f>
        <v>0</v>
      </c>
      <c r="E100" s="71">
        <f t="shared" si="38"/>
        <v>0</v>
      </c>
      <c r="F100" s="71">
        <f t="shared" si="39"/>
        <v>0</v>
      </c>
      <c r="G100" s="54"/>
      <c r="H100" s="54"/>
      <c r="I100" s="78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74"/>
      <c r="AN100" s="39"/>
      <c r="AO100" s="54"/>
      <c r="AP100" s="39"/>
      <c r="AQ100" s="39"/>
      <c r="AR100" s="39"/>
      <c r="AS100" s="39"/>
      <c r="AT100" s="61">
        <f ca="1">SUM(PT!E100)</f>
        <v>0</v>
      </c>
      <c r="AU100" s="39"/>
      <c r="AV100" s="39"/>
      <c r="AW100" s="39"/>
      <c r="AX100" s="39"/>
      <c r="AY100" s="87"/>
      <c r="AZ100" s="67">
        <f t="shared" si="43"/>
        <v>5000</v>
      </c>
    </row>
    <row r="101" spans="1:52">
      <c r="A101" s="33" t="s">
        <v>39</v>
      </c>
      <c r="B101" s="33" t="s">
        <v>40</v>
      </c>
      <c r="C101" s="55"/>
      <c r="D101" s="55">
        <f>(+D$88-D$84+D$80)*(0.0024+0.0036+0.0013)</f>
        <v>2133.9309856117497</v>
      </c>
      <c r="E101" s="55">
        <f t="shared" si="38"/>
        <v>3107.3391170932491</v>
      </c>
      <c r="F101" s="55">
        <f t="shared" si="39"/>
        <v>1509.8415780937498</v>
      </c>
      <c r="G101" s="55">
        <f>(+G$88-G$84+G$80)*(0.0024+0.0036+0.0013)</f>
        <v>804.31934577186757</v>
      </c>
      <c r="H101" s="55">
        <f>(+H$88-H$84+H$80)*(0.0024+0.0036+0.0013)</f>
        <v>430.45647077503577</v>
      </c>
      <c r="I101" s="80"/>
      <c r="J101" s="55">
        <f t="shared" ref="J101:AG101" si="54">(+J$88-J$84+J$80)*(0.0024+0.0036+0.0013)</f>
        <v>509.99811812474991</v>
      </c>
      <c r="K101" s="55">
        <f t="shared" si="54"/>
        <v>466.1981181247499</v>
      </c>
      <c r="L101" s="55">
        <f t="shared" si="54"/>
        <v>466.1981181247499</v>
      </c>
      <c r="M101" s="55">
        <f t="shared" si="54"/>
        <v>691.53663123749993</v>
      </c>
      <c r="N101" s="55"/>
      <c r="O101" s="55">
        <f t="shared" si="54"/>
        <v>509.99811812474991</v>
      </c>
      <c r="P101" s="55">
        <f t="shared" si="54"/>
        <v>466.1981181247499</v>
      </c>
      <c r="Q101" s="55">
        <f t="shared" si="54"/>
        <v>0</v>
      </c>
      <c r="R101" s="55">
        <f t="shared" si="54"/>
        <v>345.76831561874997</v>
      </c>
      <c r="S101" s="55">
        <f t="shared" si="54"/>
        <v>0</v>
      </c>
      <c r="T101" s="55">
        <f t="shared" si="54"/>
        <v>0</v>
      </c>
      <c r="U101" s="55">
        <f t="shared" si="54"/>
        <v>150.98415780937498</v>
      </c>
      <c r="V101" s="55">
        <f t="shared" si="54"/>
        <v>345.76831561874997</v>
      </c>
      <c r="W101" s="55">
        <f t="shared" si="54"/>
        <v>0</v>
      </c>
      <c r="X101" s="55">
        <f t="shared" si="54"/>
        <v>150.98415780937498</v>
      </c>
      <c r="Y101" s="55">
        <f t="shared" si="54"/>
        <v>150.98415780937498</v>
      </c>
      <c r="Z101" s="55">
        <f t="shared" si="54"/>
        <v>0</v>
      </c>
      <c r="AA101" s="55">
        <f t="shared" si="54"/>
        <v>150.98415780937498</v>
      </c>
      <c r="AB101" s="55">
        <f t="shared" si="54"/>
        <v>0</v>
      </c>
      <c r="AC101" s="55">
        <f t="shared" si="54"/>
        <v>239.09806800000001</v>
      </c>
      <c r="AD101" s="55">
        <f t="shared" si="54"/>
        <v>294.60323475000001</v>
      </c>
      <c r="AE101" s="55">
        <f t="shared" si="54"/>
        <v>301.96831561874995</v>
      </c>
      <c r="AF101" s="55">
        <f t="shared" si="54"/>
        <v>0</v>
      </c>
      <c r="AG101" s="55">
        <f t="shared" si="54"/>
        <v>0</v>
      </c>
      <c r="AH101" s="55">
        <f>(+AH$88-AH$84+AH$80)*(0.0024+0.0036+0.0013)</f>
        <v>301.96831561874995</v>
      </c>
      <c r="AI101" s="55">
        <f>(+AI$88-AI$84+AI$80)*(0.0024+0.0036+0.0013)</f>
        <v>301.96831561874995</v>
      </c>
      <c r="AJ101" s="55">
        <f>(+AJ$88-AJ$84+AJ$80)*(0.0024+0.0036+0.0013)</f>
        <v>301.96831561874995</v>
      </c>
      <c r="AK101" s="55">
        <f>(+AK$88-AK$84+AK$80)*(0.0024+0.0036+0.0013)</f>
        <v>301.96831561874995</v>
      </c>
      <c r="AL101" s="55">
        <f>(+AL$88-AL$84+AL$80)*(0.0024+0.0036+0.0013)</f>
        <v>301.96831561874995</v>
      </c>
      <c r="AM101" s="74"/>
      <c r="AN101" s="40">
        <f t="shared" ref="AN101:AS101" si="55">(+AN$88-AN$84+AN$80)*(0.0024+0.0036+0.0013)</f>
        <v>116.73216223609276</v>
      </c>
      <c r="AO101" s="55">
        <f t="shared" si="55"/>
        <v>192.62178908062739</v>
      </c>
      <c r="AP101" s="40">
        <f t="shared" si="55"/>
        <v>165.488403025</v>
      </c>
      <c r="AQ101" s="40">
        <f t="shared" si="55"/>
        <v>192.58653635313647</v>
      </c>
      <c r="AR101" s="40">
        <f t="shared" si="55"/>
        <v>148.02016185000002</v>
      </c>
      <c r="AS101" s="40">
        <f t="shared" si="55"/>
        <v>100.375</v>
      </c>
      <c r="AT101" s="40">
        <f ca="1">SUM(PT!E101)</f>
        <v>138.86089200000001</v>
      </c>
      <c r="AU101" s="40">
        <f>(+AU$88-AU$84+AU$80)*(0.0024+0.0036+0.0013)</f>
        <v>295.58625999422804</v>
      </c>
      <c r="AV101" s="40">
        <f>(+AV$88-AV$84+AV$80)*(0.0024+0.0036+0.0013)</f>
        <v>0</v>
      </c>
      <c r="AW101" s="40">
        <f>(+AW$88-AW$84+AW$80)*(0.0024+0.0036+0.0013)</f>
        <v>236.18390310900003</v>
      </c>
      <c r="AX101" s="40">
        <f>(+AX$88-AX$84+AX$80)*(0.0024+0.0036+0.0013)</f>
        <v>79.591700482177941</v>
      </c>
      <c r="AY101" s="80"/>
      <c r="AZ101" s="66">
        <f t="shared" si="43"/>
        <v>9651.9343054759156</v>
      </c>
    </row>
    <row r="102" spans="1:52">
      <c r="B102" s="33" t="s">
        <v>235</v>
      </c>
      <c r="C102" s="54">
        <f t="shared" ref="C102:H102" si="56">SUM(C93:C101)</f>
        <v>5000</v>
      </c>
      <c r="D102" s="54">
        <f t="shared" si="56"/>
        <v>74773.730976766485</v>
      </c>
      <c r="E102" s="54">
        <f t="shared" si="56"/>
        <v>106358.22137722348</v>
      </c>
      <c r="F102" s="54">
        <f t="shared" si="56"/>
        <v>50338.311447562497</v>
      </c>
      <c r="G102" s="54">
        <f t="shared" si="56"/>
        <v>24236.307805248904</v>
      </c>
      <c r="H102" s="54">
        <f t="shared" si="56"/>
        <v>12697.269190930185</v>
      </c>
      <c r="I102" s="78"/>
      <c r="J102" s="54">
        <f t="shared" ref="J102:AL102" si="57">SUM(J93:J101)</f>
        <v>18212.802132580498</v>
      </c>
      <c r="K102" s="54">
        <f t="shared" si="57"/>
        <v>17316.402132580497</v>
      </c>
      <c r="L102" s="54">
        <f t="shared" si="57"/>
        <v>17316.402132580497</v>
      </c>
      <c r="M102" s="54">
        <f t="shared" si="57"/>
        <v>21928.124579025</v>
      </c>
      <c r="N102" s="54"/>
      <c r="O102" s="54">
        <f t="shared" si="57"/>
        <v>18212.802132580498</v>
      </c>
      <c r="P102" s="54">
        <f t="shared" si="57"/>
        <v>17316.402132580497</v>
      </c>
      <c r="Q102" s="54">
        <f t="shared" si="57"/>
        <v>0</v>
      </c>
      <c r="R102" s="54">
        <f t="shared" si="57"/>
        <v>10964.0622895125</v>
      </c>
      <c r="S102" s="54">
        <f t="shared" si="57"/>
        <v>0</v>
      </c>
      <c r="T102" s="54">
        <f t="shared" si="57"/>
        <v>0</v>
      </c>
      <c r="U102" s="54">
        <f t="shared" si="57"/>
        <v>5033.8311447562492</v>
      </c>
      <c r="V102" s="54">
        <f t="shared" si="57"/>
        <v>10964.0622895125</v>
      </c>
      <c r="W102" s="54">
        <f t="shared" si="57"/>
        <v>0</v>
      </c>
      <c r="X102" s="54">
        <f t="shared" si="57"/>
        <v>5033.8311447562492</v>
      </c>
      <c r="Y102" s="54">
        <f t="shared" si="57"/>
        <v>5033.8311447562492</v>
      </c>
      <c r="Z102" s="54">
        <f t="shared" si="57"/>
        <v>0</v>
      </c>
      <c r="AA102" s="54">
        <f t="shared" si="57"/>
        <v>5033.8311447562492</v>
      </c>
      <c r="AB102" s="54">
        <f t="shared" si="57"/>
        <v>0</v>
      </c>
      <c r="AC102" s="54">
        <f t="shared" si="57"/>
        <v>8780.9753039999996</v>
      </c>
      <c r="AD102" s="54">
        <f t="shared" si="57"/>
        <v>9916.9303605000005</v>
      </c>
      <c r="AE102" s="54">
        <f t="shared" si="57"/>
        <v>10067.662289512498</v>
      </c>
      <c r="AF102" s="54">
        <f t="shared" si="57"/>
        <v>0</v>
      </c>
      <c r="AG102" s="54">
        <f t="shared" si="57"/>
        <v>0</v>
      </c>
      <c r="AH102" s="54">
        <f t="shared" si="57"/>
        <v>10067.662289512498</v>
      </c>
      <c r="AI102" s="54">
        <f t="shared" si="57"/>
        <v>10067.662289512498</v>
      </c>
      <c r="AJ102" s="54">
        <f t="shared" si="57"/>
        <v>10067.662289512498</v>
      </c>
      <c r="AK102" s="54">
        <f>SUM(AK93:AK101)</f>
        <v>10067.662289512498</v>
      </c>
      <c r="AL102" s="54">
        <f t="shared" si="57"/>
        <v>10067.662289512498</v>
      </c>
      <c r="AM102" s="74"/>
      <c r="AN102" s="39">
        <f t="shared" ref="AN102:AX102" si="58">+SUM(AN93:AN101)</f>
        <v>2980.361794782782</v>
      </c>
      <c r="AO102" s="54">
        <f t="shared" si="58"/>
        <v>5831.7626395405105</v>
      </c>
      <c r="AP102" s="39">
        <f t="shared" si="58"/>
        <v>4765.0923137</v>
      </c>
      <c r="AQ102" s="39">
        <f t="shared" si="58"/>
        <v>5241.7224944305099</v>
      </c>
      <c r="AR102" s="39">
        <f t="shared" si="58"/>
        <v>4457.8427018000002</v>
      </c>
      <c r="AS102" s="39">
        <f t="shared" si="58"/>
        <v>2692.6549960000002</v>
      </c>
      <c r="AT102" s="39">
        <f t="shared" si="58"/>
        <v>2580.7715760000006</v>
      </c>
      <c r="AU102" s="39">
        <f t="shared" si="58"/>
        <v>11965.197457987784</v>
      </c>
      <c r="AV102" s="39">
        <f t="shared" si="58"/>
        <v>0</v>
      </c>
      <c r="AW102" s="39">
        <f t="shared" si="58"/>
        <v>10993.602744002001</v>
      </c>
      <c r="AX102" s="39">
        <f t="shared" si="58"/>
        <v>2193.1324366537051</v>
      </c>
      <c r="AY102" s="78"/>
      <c r="AZ102" s="57">
        <f>SUM(AZ93:AZ101)</f>
        <v>327105.98195262888</v>
      </c>
    </row>
    <row r="103" spans="1:52">
      <c r="C103" s="54"/>
      <c r="D103" s="54"/>
      <c r="E103" s="54"/>
      <c r="F103" s="54"/>
      <c r="G103" s="54"/>
      <c r="H103" s="54"/>
      <c r="I103" s="78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74"/>
      <c r="AN103" s="39"/>
      <c r="AO103" s="54"/>
      <c r="AP103" s="39"/>
      <c r="AQ103" s="39"/>
      <c r="AR103" s="39"/>
      <c r="AS103" s="39"/>
      <c r="AT103" s="39"/>
      <c r="AU103" s="39"/>
      <c r="AV103" s="39"/>
      <c r="AW103" s="39"/>
      <c r="AX103" s="39"/>
      <c r="AY103" s="78"/>
      <c r="AZ103" s="57"/>
    </row>
    <row r="104" spans="1:52" s="32" customFormat="1" ht="10.5">
      <c r="A104" s="37"/>
      <c r="B104" s="37" t="s">
        <v>236</v>
      </c>
      <c r="C104" s="57">
        <f t="shared" ref="C104:H104" si="59">SUM(C90+C102)</f>
        <v>5000</v>
      </c>
      <c r="D104" s="57">
        <f t="shared" si="59"/>
        <v>368493.04407426645</v>
      </c>
      <c r="E104" s="57">
        <f t="shared" si="59"/>
        <v>539766.6141297234</v>
      </c>
      <c r="F104" s="57">
        <f t="shared" si="59"/>
        <v>262415.92488506244</v>
      </c>
      <c r="G104" s="57">
        <f t="shared" si="59"/>
        <v>134417.04010276502</v>
      </c>
      <c r="H104" s="57">
        <f t="shared" si="59"/>
        <v>71663.909023126864</v>
      </c>
      <c r="I104" s="81"/>
      <c r="J104" s="57">
        <f t="shared" ref="J104:AL104" si="60">SUM(J90+J102)</f>
        <v>88355.55804008049</v>
      </c>
      <c r="K104" s="57">
        <f t="shared" si="60"/>
        <v>81459.158040080481</v>
      </c>
      <c r="L104" s="57">
        <f t="shared" si="60"/>
        <v>81739.158040080481</v>
      </c>
      <c r="M104" s="57">
        <f t="shared" si="60"/>
        <v>116939.16995402498</v>
      </c>
      <c r="N104" s="57"/>
      <c r="O104" s="57">
        <f t="shared" si="60"/>
        <v>88355.55804008049</v>
      </c>
      <c r="P104" s="57">
        <f t="shared" si="60"/>
        <v>81459.158040080481</v>
      </c>
      <c r="Q104" s="57">
        <f t="shared" si="60"/>
        <v>0</v>
      </c>
      <c r="R104" s="57">
        <f t="shared" si="60"/>
        <v>58609.584977012491</v>
      </c>
      <c r="S104" s="57">
        <f t="shared" si="60"/>
        <v>0</v>
      </c>
      <c r="T104" s="57">
        <f t="shared" si="60"/>
        <v>0</v>
      </c>
      <c r="U104" s="57">
        <f t="shared" si="60"/>
        <v>26504.092488506245</v>
      </c>
      <c r="V104" s="57">
        <f t="shared" si="60"/>
        <v>58609.584977012491</v>
      </c>
      <c r="W104" s="57">
        <f t="shared" si="60"/>
        <v>0</v>
      </c>
      <c r="X104" s="57">
        <f t="shared" si="60"/>
        <v>26087.592488506245</v>
      </c>
      <c r="Y104" s="57">
        <f t="shared" si="60"/>
        <v>26087.592488506245</v>
      </c>
      <c r="Z104" s="57">
        <f t="shared" si="60"/>
        <v>0</v>
      </c>
      <c r="AA104" s="57">
        <f t="shared" si="60"/>
        <v>26087.592488506245</v>
      </c>
      <c r="AB104" s="57">
        <f t="shared" si="60"/>
        <v>0</v>
      </c>
      <c r="AC104" s="57">
        <f t="shared" si="60"/>
        <v>43109.135304000003</v>
      </c>
      <c r="AD104" s="57">
        <f t="shared" si="60"/>
        <v>52373.537860500001</v>
      </c>
      <c r="AE104" s="57">
        <f t="shared" si="60"/>
        <v>52483.18497701249</v>
      </c>
      <c r="AF104" s="57">
        <f t="shared" si="60"/>
        <v>0</v>
      </c>
      <c r="AG104" s="57">
        <f t="shared" si="60"/>
        <v>0</v>
      </c>
      <c r="AH104" s="57">
        <f t="shared" si="60"/>
        <v>52483.18497701249</v>
      </c>
      <c r="AI104" s="57">
        <f t="shared" si="60"/>
        <v>52483.18497701249</v>
      </c>
      <c r="AJ104" s="57">
        <f t="shared" si="60"/>
        <v>52483.18497701249</v>
      </c>
      <c r="AK104" s="57">
        <f>SUM(AK90+AK102)</f>
        <v>52483.18497701249</v>
      </c>
      <c r="AL104" s="57">
        <f t="shared" si="60"/>
        <v>52483.18497701249</v>
      </c>
      <c r="AM104" s="77"/>
      <c r="AN104" s="57">
        <f t="shared" ref="AN104:AS104" si="61">SUM(AN90+AN102)</f>
        <v>18971.068950411925</v>
      </c>
      <c r="AO104" s="57">
        <f t="shared" si="61"/>
        <v>32218.309088941522</v>
      </c>
      <c r="AP104" s="57">
        <f t="shared" si="61"/>
        <v>27434.7365637</v>
      </c>
      <c r="AQ104" s="57">
        <f t="shared" si="61"/>
        <v>31623.439803079338</v>
      </c>
      <c r="AR104" s="57">
        <f t="shared" si="61"/>
        <v>24734.577201800003</v>
      </c>
      <c r="AS104" s="57">
        <f t="shared" si="61"/>
        <v>16442.654996000001</v>
      </c>
      <c r="AT104" s="41">
        <f>+AT90+AT102</f>
        <v>21602.811576</v>
      </c>
      <c r="AU104" s="41">
        <f>+AU90+AU102</f>
        <v>52456.465950347789</v>
      </c>
      <c r="AV104" s="41">
        <f>+AV90+AV102</f>
        <v>0</v>
      </c>
      <c r="AW104" s="41">
        <f>+AW90+AW102</f>
        <v>44607.562074002009</v>
      </c>
      <c r="AX104" s="41">
        <f>+AX90+AX102</f>
        <v>13096.105105445204</v>
      </c>
      <c r="AY104" s="81"/>
      <c r="AZ104" s="41">
        <f>+AZ90+AZ102</f>
        <v>1664944.2635246718</v>
      </c>
    </row>
    <row r="105" spans="1:52">
      <c r="C105" s="54"/>
      <c r="D105" s="54"/>
      <c r="E105" s="54"/>
      <c r="F105" s="54"/>
      <c r="G105" s="54"/>
      <c r="H105" s="54"/>
      <c r="I105" s="78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74"/>
      <c r="AN105" s="39"/>
      <c r="AO105" s="54"/>
      <c r="AP105" s="39"/>
      <c r="AQ105" s="39"/>
      <c r="AR105" s="39"/>
      <c r="AS105" s="39"/>
      <c r="AT105" s="39"/>
      <c r="AU105" s="39"/>
      <c r="AV105" s="39"/>
      <c r="AW105" s="39"/>
      <c r="AX105" s="39"/>
      <c r="AY105" s="78"/>
      <c r="AZ105" s="57"/>
    </row>
    <row r="106" spans="1:52">
      <c r="A106" s="33" t="s">
        <v>237</v>
      </c>
      <c r="C106" s="54"/>
      <c r="D106" s="54"/>
      <c r="E106" s="54"/>
      <c r="F106" s="54"/>
      <c r="G106" s="54"/>
      <c r="H106" s="54"/>
      <c r="I106" s="78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74"/>
      <c r="AN106" s="39"/>
      <c r="AO106" s="54"/>
      <c r="AP106" s="39"/>
      <c r="AQ106" s="39"/>
      <c r="AR106" s="39"/>
      <c r="AS106" s="39"/>
      <c r="AT106" s="39"/>
      <c r="AU106" s="39"/>
      <c r="AV106" s="39"/>
      <c r="AW106" s="39"/>
      <c r="AX106" s="39"/>
      <c r="AY106" s="78"/>
      <c r="AZ106" s="57"/>
    </row>
    <row r="107" spans="1:52">
      <c r="A107" s="33" t="s">
        <v>238</v>
      </c>
      <c r="C107" s="54"/>
      <c r="D107" s="54"/>
      <c r="E107" s="54"/>
      <c r="F107" s="54"/>
      <c r="G107" s="54"/>
      <c r="H107" s="54"/>
      <c r="I107" s="78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74"/>
      <c r="AN107" s="39"/>
      <c r="AO107" s="54"/>
      <c r="AP107" s="39"/>
      <c r="AQ107" s="39"/>
      <c r="AR107" s="39"/>
      <c r="AS107" s="39"/>
      <c r="AT107" s="39"/>
      <c r="AU107" s="39"/>
      <c r="AV107" s="39"/>
      <c r="AW107" s="39"/>
      <c r="AX107" s="39"/>
      <c r="AY107" s="78"/>
      <c r="AZ107" s="57"/>
    </row>
    <row r="108" spans="1:52">
      <c r="A108" s="33" t="s">
        <v>51</v>
      </c>
      <c r="B108" s="33" t="s">
        <v>50</v>
      </c>
      <c r="C108" s="54"/>
      <c r="D108" s="54">
        <f t="shared" ref="D108:D121" si="62">SUM(J108:M108)</f>
        <v>0</v>
      </c>
      <c r="E108" s="71">
        <f t="shared" ref="E108:E121" si="63">SUM(O108:AG108)</f>
        <v>0</v>
      </c>
      <c r="F108" s="71">
        <f t="shared" ref="F108:F121" si="64">SUM(AH108:AL108)</f>
        <v>0</v>
      </c>
      <c r="G108" s="54"/>
      <c r="H108" s="54"/>
      <c r="I108" s="78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74"/>
      <c r="AN108" s="61">
        <f ca="1">SUM('AC-SVC'!C108)</f>
        <v>0</v>
      </c>
      <c r="AO108" s="61">
        <f ca="1">SUM('AC-SVC'!D108)</f>
        <v>0</v>
      </c>
      <c r="AP108" s="61">
        <f ca="1">SUM('AC-SVC'!E108)</f>
        <v>0</v>
      </c>
      <c r="AQ108" s="61">
        <f ca="1">SUM('AC-SVC'!F108)</f>
        <v>0</v>
      </c>
      <c r="AR108" s="61">
        <f ca="1">SUM('AC-SVC'!G108)</f>
        <v>0</v>
      </c>
      <c r="AS108" s="61">
        <f ca="1">SUM('AC-SVC'!H108)</f>
        <v>0</v>
      </c>
      <c r="AT108" s="61">
        <f ca="1">SUM(PT!E108)</f>
        <v>0</v>
      </c>
      <c r="AU108" s="61">
        <f ca="1">SUM(FC!F108)</f>
        <v>0</v>
      </c>
      <c r="AV108" s="61">
        <f ca="1">SUM(FN!H108)</f>
        <v>0</v>
      </c>
      <c r="AW108" s="61">
        <f ca="1">SUM(FS!F108)</f>
        <v>0</v>
      </c>
      <c r="AX108" s="61">
        <f ca="1">SUM(IT!F108)*AX7</f>
        <v>7523.4375</v>
      </c>
      <c r="AY108" s="87"/>
      <c r="AZ108" s="67">
        <f t="shared" ref="AZ108:AZ121" si="65">SUM(C108:H108)+SUM(AN108:AX108)</f>
        <v>7523.4375</v>
      </c>
    </row>
    <row r="109" spans="1:52">
      <c r="A109" s="33" t="s">
        <v>41</v>
      </c>
      <c r="B109" s="33" t="s">
        <v>42</v>
      </c>
      <c r="C109" s="54"/>
      <c r="D109" s="54">
        <f t="shared" si="62"/>
        <v>0</v>
      </c>
      <c r="E109" s="71">
        <f t="shared" si="63"/>
        <v>52000</v>
      </c>
      <c r="F109" s="71">
        <f t="shared" si="64"/>
        <v>0</v>
      </c>
      <c r="G109" s="54"/>
      <c r="H109" s="54"/>
      <c r="I109" s="78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>
        <v>52000</v>
      </c>
      <c r="AE109" s="54"/>
      <c r="AF109" s="54"/>
      <c r="AG109" s="54"/>
      <c r="AH109" s="54"/>
      <c r="AI109" s="54"/>
      <c r="AJ109" s="54"/>
      <c r="AK109" s="54"/>
      <c r="AL109" s="54"/>
      <c r="AM109" s="74"/>
      <c r="AN109" s="61">
        <f ca="1">SUM('AC-SVC'!C109)*AN7</f>
        <v>1875</v>
      </c>
      <c r="AO109" s="61">
        <f ca="1">SUM('AC-SVC'!D109)</f>
        <v>2500</v>
      </c>
      <c r="AP109" s="61">
        <f ca="1">SUM('AC-SVC'!E109)*AP7</f>
        <v>3000</v>
      </c>
      <c r="AQ109" s="61">
        <f ca="1">SUM('AC-SVC'!F109)</f>
        <v>0</v>
      </c>
      <c r="AR109" s="61">
        <f ca="1">SUM('AC-SVC'!G109)</f>
        <v>0</v>
      </c>
      <c r="AS109" s="61">
        <f ca="1">SUM('AC-SVC'!H109)</f>
        <v>0</v>
      </c>
      <c r="AT109" s="61">
        <f ca="1">SUM(PT!E109)</f>
        <v>0</v>
      </c>
      <c r="AU109" s="61">
        <f ca="1">SUM(FC!F109)</f>
        <v>0</v>
      </c>
      <c r="AV109" s="61">
        <f ca="1">SUM(FN!H109)</f>
        <v>0</v>
      </c>
      <c r="AW109" s="61">
        <f ca="1">SUM(FS!F109)</f>
        <v>0</v>
      </c>
      <c r="AX109" s="61">
        <f ca="1">SUM(IT!F109)</f>
        <v>0</v>
      </c>
      <c r="AY109" s="87"/>
      <c r="AZ109" s="67">
        <f t="shared" si="65"/>
        <v>59375</v>
      </c>
    </row>
    <row r="110" spans="1:52">
      <c r="A110" s="33" t="s">
        <v>43</v>
      </c>
      <c r="B110" s="33" t="s">
        <v>239</v>
      </c>
      <c r="C110" s="54"/>
      <c r="D110" s="54">
        <f t="shared" si="62"/>
        <v>1600</v>
      </c>
      <c r="E110" s="71">
        <f t="shared" si="63"/>
        <v>4400</v>
      </c>
      <c r="F110" s="71">
        <f t="shared" si="64"/>
        <v>2000</v>
      </c>
      <c r="G110" s="54"/>
      <c r="H110" s="54"/>
      <c r="I110" s="78"/>
      <c r="J110" s="54">
        <v>400</v>
      </c>
      <c r="K110" s="54">
        <v>400</v>
      </c>
      <c r="L110" s="54">
        <v>400</v>
      </c>
      <c r="M110" s="54">
        <v>400</v>
      </c>
      <c r="N110" s="54"/>
      <c r="O110" s="54">
        <v>400</v>
      </c>
      <c r="P110" s="54">
        <v>400</v>
      </c>
      <c r="Q110" s="54">
        <v>0</v>
      </c>
      <c r="R110" s="54">
        <v>400</v>
      </c>
      <c r="S110" s="54">
        <v>0</v>
      </c>
      <c r="T110" s="54">
        <v>0</v>
      </c>
      <c r="U110" s="54">
        <v>400</v>
      </c>
      <c r="V110" s="54">
        <v>400</v>
      </c>
      <c r="W110" s="54">
        <v>0</v>
      </c>
      <c r="X110" s="54">
        <v>400</v>
      </c>
      <c r="Y110" s="54">
        <v>400</v>
      </c>
      <c r="Z110" s="54">
        <v>0</v>
      </c>
      <c r="AA110" s="54">
        <v>400</v>
      </c>
      <c r="AB110" s="54">
        <v>0</v>
      </c>
      <c r="AC110" s="54">
        <v>400</v>
      </c>
      <c r="AD110" s="54">
        <v>400</v>
      </c>
      <c r="AE110" s="54">
        <v>400</v>
      </c>
      <c r="AF110" s="54">
        <v>0</v>
      </c>
      <c r="AG110" s="54">
        <v>0</v>
      </c>
      <c r="AH110" s="54">
        <v>400</v>
      </c>
      <c r="AI110" s="54">
        <v>400</v>
      </c>
      <c r="AJ110" s="54">
        <v>400</v>
      </c>
      <c r="AK110" s="54">
        <v>400</v>
      </c>
      <c r="AL110" s="54">
        <v>400</v>
      </c>
      <c r="AM110" s="74"/>
      <c r="AN110" s="61">
        <f ca="1">SUM('AC-SVC'!C110)</f>
        <v>0</v>
      </c>
      <c r="AO110" s="61">
        <f ca="1">SUM('AC-SVC'!D110)</f>
        <v>0</v>
      </c>
      <c r="AP110" s="61">
        <f ca="1">SUM('AC-SVC'!E110)</f>
        <v>0</v>
      </c>
      <c r="AQ110" s="61">
        <f ca="1">SUM('AC-SVC'!F110)</f>
        <v>0</v>
      </c>
      <c r="AR110" s="61">
        <f ca="1">SUM('AC-SVC'!G110)</f>
        <v>0</v>
      </c>
      <c r="AS110" s="61">
        <f ca="1">SUM('AC-SVC'!H110)</f>
        <v>500</v>
      </c>
      <c r="AT110" s="61">
        <f ca="1">SUM(PT!E110)</f>
        <v>0</v>
      </c>
      <c r="AU110" s="61">
        <f ca="1">SUM(FC!F110)</f>
        <v>0</v>
      </c>
      <c r="AV110" s="61">
        <f ca="1">SUM(FN!H110)*AV7</f>
        <v>0</v>
      </c>
      <c r="AW110" s="61">
        <f ca="1">SUM(FS!F110)</f>
        <v>300</v>
      </c>
      <c r="AX110" s="61">
        <f ca="1">SUM(IT!F110)</f>
        <v>125</v>
      </c>
      <c r="AY110" s="87"/>
      <c r="AZ110" s="67">
        <f t="shared" si="65"/>
        <v>8925</v>
      </c>
    </row>
    <row r="111" spans="1:52">
      <c r="A111" s="33" t="s">
        <v>44</v>
      </c>
      <c r="B111" s="33" t="s">
        <v>45</v>
      </c>
      <c r="C111" s="54"/>
      <c r="D111" s="54">
        <f t="shared" si="62"/>
        <v>0</v>
      </c>
      <c r="E111" s="71">
        <f t="shared" si="63"/>
        <v>0</v>
      </c>
      <c r="F111" s="71">
        <f t="shared" si="64"/>
        <v>0</v>
      </c>
      <c r="G111" s="54"/>
      <c r="H111" s="54"/>
      <c r="I111" s="78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74"/>
      <c r="AN111" s="61">
        <f ca="1">SUM('AC-SVC'!C111)</f>
        <v>0</v>
      </c>
      <c r="AO111" s="61">
        <f ca="1">SUM('AC-SVC'!D111)</f>
        <v>0</v>
      </c>
      <c r="AP111" s="61">
        <f ca="1">SUM('AC-SVC'!E111)</f>
        <v>0</v>
      </c>
      <c r="AQ111" s="61">
        <f ca="1">SUM('AC-SVC'!F111)</f>
        <v>0</v>
      </c>
      <c r="AR111" s="61">
        <f ca="1">SUM('AC-SVC'!G111)</f>
        <v>0</v>
      </c>
      <c r="AS111" s="61">
        <f ca="1">SUM('AC-SVC'!H111)</f>
        <v>0</v>
      </c>
      <c r="AT111" s="61">
        <f ca="1">SUM(PT!E111)</f>
        <v>0</v>
      </c>
      <c r="AU111" s="61">
        <f ca="1">SUM(FC!F111)</f>
        <v>1000</v>
      </c>
      <c r="AV111" s="61">
        <f ca="1">SUM(FN!H111)</f>
        <v>0</v>
      </c>
      <c r="AW111" s="61">
        <f ca="1">SUM(FS!F111)</f>
        <v>0</v>
      </c>
      <c r="AX111" s="61">
        <f ca="1">SUM(IT!F111)</f>
        <v>0</v>
      </c>
      <c r="AY111" s="87"/>
      <c r="AZ111" s="67">
        <f t="shared" si="65"/>
        <v>1000</v>
      </c>
    </row>
    <row r="112" spans="1:52">
      <c r="A112" s="33" t="s">
        <v>46</v>
      </c>
      <c r="B112" s="33" t="s">
        <v>240</v>
      </c>
      <c r="C112" s="54"/>
      <c r="D112" s="54">
        <f t="shared" si="62"/>
        <v>0</v>
      </c>
      <c r="E112" s="71">
        <f t="shared" si="63"/>
        <v>0</v>
      </c>
      <c r="F112" s="71">
        <f t="shared" si="64"/>
        <v>0</v>
      </c>
      <c r="G112" s="54"/>
      <c r="H112" s="54"/>
      <c r="I112" s="78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74"/>
      <c r="AN112" s="61">
        <f ca="1">SUM('AC-SVC'!C112)</f>
        <v>0</v>
      </c>
      <c r="AO112" s="61">
        <f ca="1">SUM('AC-SVC'!D112)</f>
        <v>0</v>
      </c>
      <c r="AP112" s="61">
        <f ca="1">SUM('AC-SVC'!E112)</f>
        <v>0</v>
      </c>
      <c r="AQ112" s="61">
        <f ca="1">SUM('AC-SVC'!F112)</f>
        <v>0</v>
      </c>
      <c r="AR112" s="61">
        <f ca="1">SUM('AC-SVC'!G112)</f>
        <v>0</v>
      </c>
      <c r="AS112" s="61">
        <f ca="1">SUM('AC-SVC'!H112)</f>
        <v>0</v>
      </c>
      <c r="AT112" s="61">
        <f ca="1">SUM(PT!E112)</f>
        <v>0</v>
      </c>
      <c r="AU112" s="61">
        <f ca="1">SUM(FC!F112)</f>
        <v>0</v>
      </c>
      <c r="AV112" s="61">
        <f ca="1">SUM(FN!H112)</f>
        <v>0</v>
      </c>
      <c r="AW112" s="61">
        <f ca="1">SUM(FS!F112)</f>
        <v>0</v>
      </c>
      <c r="AX112" s="61">
        <f ca="1">SUM(IT!F112)</f>
        <v>0</v>
      </c>
      <c r="AY112" s="87"/>
      <c r="AZ112" s="67">
        <f t="shared" si="65"/>
        <v>0</v>
      </c>
    </row>
    <row r="113" spans="1:52">
      <c r="A113" s="33" t="s">
        <v>47</v>
      </c>
      <c r="B113" s="33" t="s">
        <v>241</v>
      </c>
      <c r="C113" s="54"/>
      <c r="D113" s="54">
        <f t="shared" si="62"/>
        <v>0</v>
      </c>
      <c r="E113" s="71">
        <f t="shared" si="63"/>
        <v>0</v>
      </c>
      <c r="F113" s="71">
        <f t="shared" si="64"/>
        <v>0</v>
      </c>
      <c r="G113" s="54"/>
      <c r="H113" s="54"/>
      <c r="I113" s="78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74"/>
      <c r="AN113" s="61">
        <f ca="1">SUM('AC-SVC'!C113)</f>
        <v>0</v>
      </c>
      <c r="AO113" s="61">
        <f ca="1">SUM('AC-SVC'!D113)</f>
        <v>0</v>
      </c>
      <c r="AP113" s="61">
        <f ca="1">SUM('AC-SVC'!E113)</f>
        <v>0</v>
      </c>
      <c r="AQ113" s="61">
        <f ca="1">SUM('AC-SVC'!F113)</f>
        <v>0</v>
      </c>
      <c r="AR113" s="61">
        <f ca="1">SUM('AC-SVC'!G113)</f>
        <v>0</v>
      </c>
      <c r="AS113" s="61">
        <f ca="1">SUM('AC-SVC'!H113)</f>
        <v>0</v>
      </c>
      <c r="AT113" s="61">
        <f ca="1">SUM(PT!E113)</f>
        <v>0</v>
      </c>
      <c r="AU113" s="61">
        <f ca="1">SUM(FC!F113)</f>
        <v>0</v>
      </c>
      <c r="AV113" s="61">
        <f ca="1">SUM(FN!H113)</f>
        <v>0</v>
      </c>
      <c r="AW113" s="61">
        <f ca="1">SUM(FS!F113)</f>
        <v>0</v>
      </c>
      <c r="AX113" s="61">
        <f ca="1">SUM(IT!F113)</f>
        <v>0</v>
      </c>
      <c r="AY113" s="87"/>
      <c r="AZ113" s="67">
        <f t="shared" si="65"/>
        <v>0</v>
      </c>
    </row>
    <row r="114" spans="1:52">
      <c r="A114" s="33" t="s">
        <v>48</v>
      </c>
      <c r="B114" s="33" t="s">
        <v>49</v>
      </c>
      <c r="C114" s="54"/>
      <c r="D114" s="54">
        <f t="shared" si="62"/>
        <v>0</v>
      </c>
      <c r="E114" s="71">
        <f t="shared" si="63"/>
        <v>0</v>
      </c>
      <c r="F114" s="71">
        <f t="shared" si="64"/>
        <v>0</v>
      </c>
      <c r="G114" s="54"/>
      <c r="H114" s="54"/>
      <c r="I114" s="78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74"/>
      <c r="AN114" s="61">
        <f ca="1">SUM('AC-SVC'!C114)</f>
        <v>0</v>
      </c>
      <c r="AO114" s="61">
        <f ca="1">SUM('AC-SVC'!D114)</f>
        <v>0</v>
      </c>
      <c r="AP114" s="61">
        <f ca="1">SUM('AC-SVC'!E114)</f>
        <v>0</v>
      </c>
      <c r="AQ114" s="61">
        <f ca="1">SUM('AC-SVC'!F114)</f>
        <v>0</v>
      </c>
      <c r="AR114" s="61">
        <f ca="1">SUM('AC-SVC'!G114)</f>
        <v>0</v>
      </c>
      <c r="AS114" s="61">
        <f ca="1">SUM('AC-SVC'!H114)</f>
        <v>0</v>
      </c>
      <c r="AT114" s="61">
        <f ca="1">SUM(PT!E114)</f>
        <v>0</v>
      </c>
      <c r="AU114" s="61">
        <f ca="1">SUM(FC!F114)</f>
        <v>4300</v>
      </c>
      <c r="AV114" s="61">
        <f ca="1">SUM(FN!H114)</f>
        <v>0</v>
      </c>
      <c r="AW114" s="61">
        <f ca="1">SUM(FS!F114)</f>
        <v>0</v>
      </c>
      <c r="AX114" s="61">
        <f ca="1">SUM(IT!F114)*AX7</f>
        <v>425</v>
      </c>
      <c r="AY114" s="87"/>
      <c r="AZ114" s="67">
        <f t="shared" si="65"/>
        <v>4725</v>
      </c>
    </row>
    <row r="115" spans="1:52">
      <c r="A115" s="33" t="s">
        <v>82</v>
      </c>
      <c r="B115" s="33" t="s">
        <v>166</v>
      </c>
      <c r="C115" s="54"/>
      <c r="D115" s="54">
        <f t="shared" ref="D115:D120" si="66">SUM(J115:M115)</f>
        <v>200</v>
      </c>
      <c r="E115" s="71">
        <f t="shared" si="63"/>
        <v>600</v>
      </c>
      <c r="F115" s="71">
        <f t="shared" si="64"/>
        <v>125</v>
      </c>
      <c r="G115" s="54"/>
      <c r="H115" s="54"/>
      <c r="I115" s="78"/>
      <c r="J115" s="54">
        <v>50</v>
      </c>
      <c r="K115" s="54">
        <v>50</v>
      </c>
      <c r="L115" s="54">
        <v>50</v>
      </c>
      <c r="M115" s="54">
        <v>50</v>
      </c>
      <c r="N115" s="54"/>
      <c r="O115" s="54">
        <v>50</v>
      </c>
      <c r="P115" s="54">
        <v>50</v>
      </c>
      <c r="Q115" s="54">
        <v>0</v>
      </c>
      <c r="R115" s="54">
        <v>50</v>
      </c>
      <c r="S115" s="54">
        <v>0</v>
      </c>
      <c r="T115" s="54">
        <v>0</v>
      </c>
      <c r="U115" s="54">
        <v>50</v>
      </c>
      <c r="V115" s="54">
        <v>50</v>
      </c>
      <c r="W115" s="54">
        <v>0</v>
      </c>
      <c r="X115" s="54">
        <v>50</v>
      </c>
      <c r="Y115" s="54">
        <v>50</v>
      </c>
      <c r="Z115" s="54">
        <v>0</v>
      </c>
      <c r="AA115" s="54">
        <v>50</v>
      </c>
      <c r="AB115" s="54">
        <v>0</v>
      </c>
      <c r="AC115" s="54">
        <v>50</v>
      </c>
      <c r="AD115" s="54">
        <f>50*2</f>
        <v>100</v>
      </c>
      <c r="AE115" s="54">
        <v>50</v>
      </c>
      <c r="AF115" s="54">
        <v>0</v>
      </c>
      <c r="AG115" s="54">
        <v>0</v>
      </c>
      <c r="AH115" s="54">
        <f>50*0.5</f>
        <v>25</v>
      </c>
      <c r="AI115" s="54">
        <f>50*0.5</f>
        <v>25</v>
      </c>
      <c r="AJ115" s="54">
        <f>50*0.5</f>
        <v>25</v>
      </c>
      <c r="AK115" s="54">
        <f>50*0.5</f>
        <v>25</v>
      </c>
      <c r="AL115" s="54">
        <f>50*0.5</f>
        <v>25</v>
      </c>
      <c r="AM115" s="74"/>
      <c r="AN115" s="61">
        <f ca="1">SUM('AC-SVC'!C115)</f>
        <v>0</v>
      </c>
      <c r="AO115" s="61">
        <f ca="1">SUM('AC-SVC'!D115)</f>
        <v>0</v>
      </c>
      <c r="AP115" s="61">
        <f ca="1">SUM('AC-SVC'!E115)</f>
        <v>0</v>
      </c>
      <c r="AQ115" s="61">
        <f ca="1">SUM('AC-SVC'!F115)</f>
        <v>0</v>
      </c>
      <c r="AR115" s="61">
        <f ca="1">SUM('AC-SVC'!G115)</f>
        <v>0</v>
      </c>
      <c r="AS115" s="61">
        <f ca="1">SUM('AC-SVC'!H115)</f>
        <v>0</v>
      </c>
      <c r="AT115" s="61">
        <f ca="1">SUM(PT!E115)</f>
        <v>0</v>
      </c>
      <c r="AU115" s="61">
        <f ca="1">SUM(FC!F115)</f>
        <v>0</v>
      </c>
      <c r="AV115" s="61">
        <f ca="1">SUM(FN!H115)</f>
        <v>0</v>
      </c>
      <c r="AW115" s="61">
        <f ca="1">SUM(FS!F115)</f>
        <v>0</v>
      </c>
      <c r="AX115" s="61">
        <f ca="1">SUM(IT!F115)</f>
        <v>0</v>
      </c>
      <c r="AY115" s="87"/>
      <c r="AZ115" s="67">
        <f t="shared" si="65"/>
        <v>925</v>
      </c>
    </row>
    <row r="116" spans="1:52">
      <c r="A116" s="33" t="s">
        <v>104</v>
      </c>
      <c r="B116" s="33" t="s">
        <v>103</v>
      </c>
      <c r="C116" s="54"/>
      <c r="D116" s="54">
        <f t="shared" si="66"/>
        <v>0</v>
      </c>
      <c r="E116" s="71">
        <f t="shared" si="63"/>
        <v>0</v>
      </c>
      <c r="F116" s="71">
        <f t="shared" si="64"/>
        <v>0</v>
      </c>
      <c r="G116" s="54"/>
      <c r="H116" s="54"/>
      <c r="I116" s="78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74"/>
      <c r="AN116" s="61">
        <f ca="1">SUM('AC-SVC'!C116)</f>
        <v>0</v>
      </c>
      <c r="AO116" s="61">
        <f ca="1">SUM('AC-SVC'!D116)</f>
        <v>0</v>
      </c>
      <c r="AP116" s="61">
        <f ca="1">SUM('AC-SVC'!E116)</f>
        <v>0</v>
      </c>
      <c r="AQ116" s="61">
        <f ca="1">SUM('AC-SVC'!F116)</f>
        <v>0</v>
      </c>
      <c r="AR116" s="61">
        <f ca="1">SUM('AC-SVC'!G116)</f>
        <v>0</v>
      </c>
      <c r="AS116" s="61">
        <f ca="1">SUM('AC-SVC'!H116)</f>
        <v>0</v>
      </c>
      <c r="AT116" s="61">
        <f ca="1">SUM(PT!E116)</f>
        <v>0</v>
      </c>
      <c r="AU116" s="61">
        <f ca="1">SUM(FC!F116)</f>
        <v>0</v>
      </c>
      <c r="AV116" s="61">
        <f ca="1">SUM(FN!H116)</f>
        <v>0</v>
      </c>
      <c r="AW116" s="61">
        <f ca="1">SUM(FS!F116)</f>
        <v>0</v>
      </c>
      <c r="AX116" s="61">
        <f ca="1">SUM(IT!F116)</f>
        <v>0</v>
      </c>
      <c r="AY116" s="87"/>
      <c r="AZ116" s="67">
        <f t="shared" si="65"/>
        <v>0</v>
      </c>
    </row>
    <row r="117" spans="1:52">
      <c r="A117" s="33" t="s">
        <v>59</v>
      </c>
      <c r="B117" s="33" t="s">
        <v>321</v>
      </c>
      <c r="C117" s="54"/>
      <c r="D117" s="54">
        <f t="shared" si="66"/>
        <v>0</v>
      </c>
      <c r="E117" s="71">
        <f t="shared" si="63"/>
        <v>0</v>
      </c>
      <c r="F117" s="71">
        <f t="shared" si="64"/>
        <v>0</v>
      </c>
      <c r="G117" s="54"/>
      <c r="H117" s="54"/>
      <c r="I117" s="78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74"/>
      <c r="AN117" s="61">
        <f ca="1">SUM('AC-SVC'!C117)</f>
        <v>0</v>
      </c>
      <c r="AO117" s="61">
        <f ca="1">SUM('AC-SVC'!D117)</f>
        <v>0</v>
      </c>
      <c r="AP117" s="61">
        <f ca="1">SUM('AC-SVC'!E117)</f>
        <v>0</v>
      </c>
      <c r="AQ117" s="61">
        <f ca="1">SUM('AC-SVC'!F117)</f>
        <v>0</v>
      </c>
      <c r="AR117" s="61">
        <f ca="1">SUM('AC-SVC'!G117)</f>
        <v>0</v>
      </c>
      <c r="AS117" s="61">
        <f ca="1">SUM('AC-SVC'!H117)</f>
        <v>0</v>
      </c>
      <c r="AT117" s="61">
        <f ca="1">SUM(PT!E117)</f>
        <v>0</v>
      </c>
      <c r="AU117" s="61">
        <f ca="1">SUM(FC!F117)</f>
        <v>792</v>
      </c>
      <c r="AV117" s="61">
        <f ca="1">SUM(FN!H117)</f>
        <v>0</v>
      </c>
      <c r="AW117" s="61">
        <f ca="1">SUM(FS!F117)</f>
        <v>0</v>
      </c>
      <c r="AX117" s="61">
        <f ca="1">SUM(IT!F117)</f>
        <v>0</v>
      </c>
      <c r="AY117" s="87"/>
      <c r="AZ117" s="67">
        <f t="shared" si="65"/>
        <v>792</v>
      </c>
    </row>
    <row r="118" spans="1:52">
      <c r="A118" s="33" t="s">
        <v>87</v>
      </c>
      <c r="B118" s="33" t="s">
        <v>88</v>
      </c>
      <c r="C118" s="54"/>
      <c r="D118" s="54">
        <f t="shared" si="66"/>
        <v>0</v>
      </c>
      <c r="E118" s="71">
        <f t="shared" si="63"/>
        <v>0</v>
      </c>
      <c r="F118" s="71">
        <f t="shared" si="64"/>
        <v>0</v>
      </c>
      <c r="G118" s="54"/>
      <c r="H118" s="54"/>
      <c r="I118" s="78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74"/>
      <c r="AN118" s="61">
        <f ca="1">SUM('AC-SVC'!C118)</f>
        <v>0</v>
      </c>
      <c r="AO118" s="61">
        <f ca="1">SUM('AC-SVC'!D118)</f>
        <v>0</v>
      </c>
      <c r="AP118" s="61">
        <f ca="1">SUM('AC-SVC'!E118)</f>
        <v>0</v>
      </c>
      <c r="AQ118" s="61">
        <f ca="1">SUM('AC-SVC'!F118)</f>
        <v>0</v>
      </c>
      <c r="AR118" s="61">
        <f ca="1">SUM('AC-SVC'!G118)</f>
        <v>0</v>
      </c>
      <c r="AS118" s="61">
        <f ca="1">SUM('AC-SVC'!H118)</f>
        <v>0</v>
      </c>
      <c r="AT118" s="61">
        <f ca="1">SUM(PT!E118)</f>
        <v>0</v>
      </c>
      <c r="AU118" s="61">
        <f ca="1">SUM(FC!F118)</f>
        <v>0</v>
      </c>
      <c r="AV118" s="61">
        <f ca="1">SUM(FN!H118)</f>
        <v>0</v>
      </c>
      <c r="AW118" s="61">
        <f ca="1">SUM(FS!F118)</f>
        <v>0</v>
      </c>
      <c r="AX118" s="61">
        <f ca="1">SUM(IT!F118)</f>
        <v>0</v>
      </c>
      <c r="AY118" s="87"/>
      <c r="AZ118" s="67">
        <f t="shared" si="65"/>
        <v>0</v>
      </c>
    </row>
    <row r="119" spans="1:52">
      <c r="A119" s="33" t="s">
        <v>89</v>
      </c>
      <c r="B119" s="33" t="s">
        <v>90</v>
      </c>
      <c r="C119" s="54"/>
      <c r="D119" s="54">
        <f t="shared" si="66"/>
        <v>0</v>
      </c>
      <c r="E119" s="71">
        <f t="shared" si="63"/>
        <v>0</v>
      </c>
      <c r="F119" s="71">
        <f t="shared" si="64"/>
        <v>0</v>
      </c>
      <c r="G119" s="54"/>
      <c r="H119" s="54"/>
      <c r="I119" s="78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74"/>
      <c r="AN119" s="61">
        <f ca="1">SUM('AC-SVC'!C119)</f>
        <v>0</v>
      </c>
      <c r="AO119" s="61">
        <f ca="1">SUM('AC-SVC'!D119)</f>
        <v>0</v>
      </c>
      <c r="AP119" s="61">
        <f ca="1">SUM('AC-SVC'!E119)</f>
        <v>0</v>
      </c>
      <c r="AQ119" s="61">
        <f ca="1">SUM('AC-SVC'!F119)</f>
        <v>0</v>
      </c>
      <c r="AR119" s="61">
        <f ca="1">SUM('AC-SVC'!G119)</f>
        <v>0</v>
      </c>
      <c r="AS119" s="61">
        <f ca="1">SUM('AC-SVC'!H119)</f>
        <v>0</v>
      </c>
      <c r="AT119" s="61">
        <f ca="1">SUM(PT!E119)</f>
        <v>0</v>
      </c>
      <c r="AU119" s="61">
        <f ca="1">SUM(FC!F119)</f>
        <v>0</v>
      </c>
      <c r="AV119" s="61">
        <f ca="1">SUM(FN!H119)</f>
        <v>0</v>
      </c>
      <c r="AW119" s="61">
        <f ca="1">SUM(FS!F119)</f>
        <v>0</v>
      </c>
      <c r="AX119" s="61">
        <f ca="1">SUM(IT!F119)</f>
        <v>0</v>
      </c>
      <c r="AY119" s="87"/>
      <c r="AZ119" s="67">
        <f t="shared" si="65"/>
        <v>0</v>
      </c>
    </row>
    <row r="120" spans="1:52">
      <c r="A120" s="33" t="s">
        <v>450</v>
      </c>
      <c r="B120" s="33" t="s">
        <v>451</v>
      </c>
      <c r="C120" s="54">
        <v>425000</v>
      </c>
      <c r="D120" s="54">
        <f t="shared" si="66"/>
        <v>0</v>
      </c>
      <c r="E120" s="71">
        <f t="shared" si="63"/>
        <v>0</v>
      </c>
      <c r="F120" s="71">
        <f t="shared" si="64"/>
        <v>0</v>
      </c>
      <c r="G120" s="54"/>
      <c r="H120" s="54"/>
      <c r="I120" s="78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74"/>
      <c r="AN120" s="61">
        <f ca="1">SUM('AC-SVC'!C120)</f>
        <v>0</v>
      </c>
      <c r="AO120" s="61">
        <f ca="1">SUM('AC-SVC'!D120)</f>
        <v>0</v>
      </c>
      <c r="AP120" s="61">
        <f ca="1">SUM('AC-SVC'!E120)</f>
        <v>0</v>
      </c>
      <c r="AQ120" s="61">
        <f ca="1">SUM('AC-SVC'!F120)</f>
        <v>0</v>
      </c>
      <c r="AR120" s="61">
        <f ca="1">SUM('AC-SVC'!G120)</f>
        <v>0</v>
      </c>
      <c r="AS120" s="61">
        <f ca="1">SUM('AC-SVC'!H120)</f>
        <v>0</v>
      </c>
      <c r="AT120" s="61">
        <f ca="1">SUM(PT!E120)</f>
        <v>0</v>
      </c>
      <c r="AU120" s="61">
        <f ca="1">SUM(FC!F120)</f>
        <v>0</v>
      </c>
      <c r="AV120" s="61">
        <f ca="1">SUM(FN!H120)</f>
        <v>0</v>
      </c>
      <c r="AW120" s="61">
        <f ca="1">SUM(FS!F120)</f>
        <v>0</v>
      </c>
      <c r="AX120" s="61">
        <f ca="1">SUM(IT!F120)</f>
        <v>0</v>
      </c>
      <c r="AY120" s="87"/>
      <c r="AZ120" s="67">
        <f t="shared" si="65"/>
        <v>425000</v>
      </c>
    </row>
    <row r="121" spans="1:52">
      <c r="A121" s="33" t="s">
        <v>52</v>
      </c>
      <c r="B121" s="33" t="s">
        <v>53</v>
      </c>
      <c r="C121" s="55"/>
      <c r="D121" s="55">
        <f t="shared" si="62"/>
        <v>0</v>
      </c>
      <c r="E121" s="55">
        <f t="shared" si="63"/>
        <v>0</v>
      </c>
      <c r="F121" s="55">
        <f t="shared" si="64"/>
        <v>0</v>
      </c>
      <c r="G121" s="55"/>
      <c r="H121" s="55"/>
      <c r="I121" s="80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74"/>
      <c r="AN121" s="40">
        <f ca="1">SUM('AC-SVC'!C121)</f>
        <v>0</v>
      </c>
      <c r="AO121" s="40">
        <f ca="1">SUM('AC-SVC'!D121)</f>
        <v>0</v>
      </c>
      <c r="AP121" s="40">
        <f ca="1">SUM('AC-SVC'!E121)</f>
        <v>0</v>
      </c>
      <c r="AQ121" s="40">
        <f ca="1">SUM('AC-SVC'!F121)</f>
        <v>0</v>
      </c>
      <c r="AR121" s="40">
        <f ca="1">SUM('AC-SVC'!G121)</f>
        <v>0</v>
      </c>
      <c r="AS121" s="40">
        <f ca="1">SUM('AC-SVC'!H121)</f>
        <v>0</v>
      </c>
      <c r="AT121" s="40">
        <f ca="1">SUM(PT!E121)</f>
        <v>5500</v>
      </c>
      <c r="AU121" s="40">
        <f ca="1">SUM(FC!F121)</f>
        <v>0</v>
      </c>
      <c r="AV121" s="40">
        <f ca="1">SUM(FN!H121)</f>
        <v>0</v>
      </c>
      <c r="AW121" s="40">
        <f ca="1">SUM(FS!F121)</f>
        <v>0</v>
      </c>
      <c r="AX121" s="40">
        <f ca="1">SUM(IT!F121)</f>
        <v>0</v>
      </c>
      <c r="AY121" s="80"/>
      <c r="AZ121" s="66">
        <f t="shared" si="65"/>
        <v>5500</v>
      </c>
    </row>
    <row r="122" spans="1:52">
      <c r="B122" s="33" t="s">
        <v>242</v>
      </c>
      <c r="C122" s="54">
        <f t="shared" ref="C122:H122" si="67">SUM(C108:C121)</f>
        <v>425000</v>
      </c>
      <c r="D122" s="54">
        <f t="shared" si="67"/>
        <v>1800</v>
      </c>
      <c r="E122" s="54">
        <f t="shared" si="67"/>
        <v>57000</v>
      </c>
      <c r="F122" s="54">
        <f t="shared" si="67"/>
        <v>2125</v>
      </c>
      <c r="G122" s="54">
        <f t="shared" si="67"/>
        <v>0</v>
      </c>
      <c r="H122" s="54">
        <f t="shared" si="67"/>
        <v>0</v>
      </c>
      <c r="I122" s="78"/>
      <c r="J122" s="54">
        <f t="shared" ref="J122:AL122" si="68">SUM(J108:J121)</f>
        <v>450</v>
      </c>
      <c r="K122" s="54">
        <f t="shared" si="68"/>
        <v>450</v>
      </c>
      <c r="L122" s="54">
        <f t="shared" si="68"/>
        <v>450</v>
      </c>
      <c r="M122" s="54">
        <f t="shared" si="68"/>
        <v>450</v>
      </c>
      <c r="N122" s="54"/>
      <c r="O122" s="54">
        <f t="shared" si="68"/>
        <v>450</v>
      </c>
      <c r="P122" s="54">
        <f t="shared" si="68"/>
        <v>450</v>
      </c>
      <c r="Q122" s="54">
        <f t="shared" si="68"/>
        <v>0</v>
      </c>
      <c r="R122" s="54">
        <f t="shared" si="68"/>
        <v>450</v>
      </c>
      <c r="S122" s="54">
        <f t="shared" si="68"/>
        <v>0</v>
      </c>
      <c r="T122" s="54">
        <f t="shared" si="68"/>
        <v>0</v>
      </c>
      <c r="U122" s="54">
        <f t="shared" si="68"/>
        <v>450</v>
      </c>
      <c r="V122" s="54">
        <f t="shared" si="68"/>
        <v>450</v>
      </c>
      <c r="W122" s="54">
        <f t="shared" si="68"/>
        <v>0</v>
      </c>
      <c r="X122" s="54">
        <f t="shared" si="68"/>
        <v>450</v>
      </c>
      <c r="Y122" s="54">
        <f t="shared" si="68"/>
        <v>450</v>
      </c>
      <c r="Z122" s="54">
        <f t="shared" si="68"/>
        <v>0</v>
      </c>
      <c r="AA122" s="54">
        <f t="shared" si="68"/>
        <v>450</v>
      </c>
      <c r="AB122" s="54">
        <f t="shared" si="68"/>
        <v>0</v>
      </c>
      <c r="AC122" s="54">
        <f t="shared" si="68"/>
        <v>450</v>
      </c>
      <c r="AD122" s="54">
        <f t="shared" si="68"/>
        <v>52500</v>
      </c>
      <c r="AE122" s="54">
        <f t="shared" si="68"/>
        <v>450</v>
      </c>
      <c r="AF122" s="54">
        <f t="shared" si="68"/>
        <v>0</v>
      </c>
      <c r="AG122" s="54">
        <f t="shared" si="68"/>
        <v>0</v>
      </c>
      <c r="AH122" s="54">
        <f t="shared" si="68"/>
        <v>425</v>
      </c>
      <c r="AI122" s="54">
        <f t="shared" si="68"/>
        <v>425</v>
      </c>
      <c r="AJ122" s="54">
        <f t="shared" si="68"/>
        <v>425</v>
      </c>
      <c r="AK122" s="54">
        <f>SUM(AK108:AK121)</f>
        <v>425</v>
      </c>
      <c r="AL122" s="54">
        <f t="shared" si="68"/>
        <v>425</v>
      </c>
      <c r="AM122" s="74"/>
      <c r="AN122" s="39">
        <f>+SUM(AN108:AN121)</f>
        <v>1875</v>
      </c>
      <c r="AO122" s="39">
        <f t="shared" ref="AO122:AX122" si="69">+SUM(AO108:AO121)</f>
        <v>2500</v>
      </c>
      <c r="AP122" s="39">
        <f t="shared" si="69"/>
        <v>3000</v>
      </c>
      <c r="AQ122" s="39">
        <f t="shared" si="69"/>
        <v>0</v>
      </c>
      <c r="AR122" s="39">
        <f t="shared" si="69"/>
        <v>0</v>
      </c>
      <c r="AS122" s="39">
        <f>+SUM(AS108:AS121)</f>
        <v>500</v>
      </c>
      <c r="AT122" s="39">
        <f t="shared" si="69"/>
        <v>5500</v>
      </c>
      <c r="AU122" s="39">
        <f t="shared" si="69"/>
        <v>6092</v>
      </c>
      <c r="AV122" s="39">
        <f t="shared" si="69"/>
        <v>0</v>
      </c>
      <c r="AW122" s="39">
        <f t="shared" si="69"/>
        <v>300</v>
      </c>
      <c r="AX122" s="39">
        <f t="shared" si="69"/>
        <v>8073.4375</v>
      </c>
      <c r="AY122" s="78"/>
      <c r="AZ122" s="57">
        <f>SUM(AZ108:AZ121)</f>
        <v>513765.4375</v>
      </c>
    </row>
    <row r="123" spans="1:52">
      <c r="C123" s="54"/>
      <c r="D123" s="54"/>
      <c r="E123" s="54"/>
      <c r="F123" s="54"/>
      <c r="G123" s="54"/>
      <c r="H123" s="54"/>
      <c r="I123" s="78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74"/>
      <c r="AN123" s="39"/>
      <c r="AO123" s="54"/>
      <c r="AP123" s="39"/>
      <c r="AQ123" s="39"/>
      <c r="AR123" s="39"/>
      <c r="AS123" s="39"/>
      <c r="AT123" s="39"/>
      <c r="AU123" s="39"/>
      <c r="AV123" s="39"/>
      <c r="AW123" s="39"/>
      <c r="AX123" s="39"/>
      <c r="AY123" s="78"/>
      <c r="AZ123" s="57"/>
    </row>
    <row r="124" spans="1:52">
      <c r="A124" s="33" t="s">
        <v>243</v>
      </c>
      <c r="C124" s="54"/>
      <c r="D124" s="54"/>
      <c r="E124" s="54"/>
      <c r="F124" s="54"/>
      <c r="G124" s="54"/>
      <c r="H124" s="54"/>
      <c r="I124" s="78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74"/>
      <c r="AN124" s="39"/>
      <c r="AO124" s="54"/>
      <c r="AP124" s="39"/>
      <c r="AQ124" s="39"/>
      <c r="AR124" s="39"/>
      <c r="AS124" s="39"/>
      <c r="AT124" s="39"/>
      <c r="AU124" s="39"/>
      <c r="AV124" s="39"/>
      <c r="AW124" s="39"/>
      <c r="AX124" s="39"/>
      <c r="AY124" s="78"/>
      <c r="AZ124" s="57"/>
    </row>
    <row r="125" spans="1:52">
      <c r="A125" s="33" t="s">
        <v>56</v>
      </c>
      <c r="B125" s="33" t="s">
        <v>246</v>
      </c>
      <c r="C125" s="54"/>
      <c r="D125" s="54">
        <f t="shared" ref="D125:D132" si="70">SUM(J125:M125)</f>
        <v>0</v>
      </c>
      <c r="E125" s="71">
        <f t="shared" ref="E125:E132" si="71">SUM(O125:AG125)</f>
        <v>0</v>
      </c>
      <c r="F125" s="71">
        <f t="shared" ref="F125:F132" si="72">SUM(AH125:AL125)</f>
        <v>0</v>
      </c>
      <c r="G125" s="54"/>
      <c r="H125" s="54"/>
      <c r="I125" s="78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74"/>
      <c r="AN125" s="61">
        <f ca="1">SUM('AC-SVC'!C125)</f>
        <v>0</v>
      </c>
      <c r="AO125" s="61">
        <f ca="1">SUM('AC-SVC'!D125)</f>
        <v>0</v>
      </c>
      <c r="AP125" s="61">
        <f ca="1">SUM('AC-SVC'!E125)</f>
        <v>0</v>
      </c>
      <c r="AQ125" s="61">
        <f ca="1">SUM('AC-SVC'!F125)</f>
        <v>0</v>
      </c>
      <c r="AR125" s="61">
        <f ca="1">SUM('AC-SVC'!G125)</f>
        <v>0</v>
      </c>
      <c r="AS125" s="61">
        <f ca="1">SUM('AC-SVC'!H125)</f>
        <v>0</v>
      </c>
      <c r="AT125" s="61">
        <f ca="1">SUM(PT!E125)</f>
        <v>0</v>
      </c>
      <c r="AU125" s="61">
        <f ca="1">SUM(FC!F125)</f>
        <v>0</v>
      </c>
      <c r="AV125" s="61">
        <f ca="1">SUM(FN!H125)</f>
        <v>0</v>
      </c>
      <c r="AW125" s="61">
        <f ca="1">SUM(FS!F125)</f>
        <v>0</v>
      </c>
      <c r="AX125" s="61">
        <f ca="1">SUM(IT!F125)</f>
        <v>0</v>
      </c>
      <c r="AY125" s="87"/>
      <c r="AZ125" s="67">
        <f t="shared" ref="AZ125:AZ132" si="73">SUM(C125:H125)+SUM(AN125:AX125)</f>
        <v>0</v>
      </c>
    </row>
    <row r="126" spans="1:52">
      <c r="A126" s="33" t="s">
        <v>57</v>
      </c>
      <c r="B126" s="33" t="s">
        <v>247</v>
      </c>
      <c r="C126" s="54"/>
      <c r="D126" s="54">
        <f t="shared" si="70"/>
        <v>0</v>
      </c>
      <c r="E126" s="71">
        <f t="shared" si="71"/>
        <v>0</v>
      </c>
      <c r="F126" s="71">
        <f t="shared" si="72"/>
        <v>0</v>
      </c>
      <c r="G126" s="54"/>
      <c r="H126" s="54"/>
      <c r="I126" s="78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74"/>
      <c r="AN126" s="61">
        <f ca="1">SUM('AC-SVC'!C126)</f>
        <v>0</v>
      </c>
      <c r="AO126" s="61">
        <f ca="1">SUM('AC-SVC'!D126)</f>
        <v>0</v>
      </c>
      <c r="AP126" s="61">
        <f ca="1">SUM('AC-SVC'!E126)</f>
        <v>0</v>
      </c>
      <c r="AQ126" s="61">
        <f ca="1">SUM('AC-SVC'!F126)</f>
        <v>0</v>
      </c>
      <c r="AR126" s="61">
        <f ca="1">SUM('AC-SVC'!G126)</f>
        <v>0</v>
      </c>
      <c r="AS126" s="61">
        <f ca="1">SUM('AC-SVC'!H126)</f>
        <v>0</v>
      </c>
      <c r="AT126" s="61">
        <f ca="1">SUM(PT!E126)</f>
        <v>0</v>
      </c>
      <c r="AU126" s="61">
        <f ca="1">SUM(FC!F126)</f>
        <v>4800</v>
      </c>
      <c r="AV126" s="61">
        <f ca="1">SUM(FN!H126)</f>
        <v>0</v>
      </c>
      <c r="AW126" s="61">
        <f ca="1">SUM(FS!F126)</f>
        <v>0</v>
      </c>
      <c r="AX126" s="61">
        <f ca="1">SUM(IT!F126)</f>
        <v>0</v>
      </c>
      <c r="AY126" s="87"/>
      <c r="AZ126" s="67">
        <f t="shared" si="73"/>
        <v>4800</v>
      </c>
    </row>
    <row r="127" spans="1:52">
      <c r="A127" s="33" t="s">
        <v>58</v>
      </c>
      <c r="B127" s="33" t="s">
        <v>248</v>
      </c>
      <c r="C127" s="54"/>
      <c r="D127" s="54">
        <f t="shared" si="70"/>
        <v>0</v>
      </c>
      <c r="E127" s="71">
        <f t="shared" si="71"/>
        <v>0</v>
      </c>
      <c r="F127" s="71">
        <f t="shared" si="72"/>
        <v>0</v>
      </c>
      <c r="G127" s="54"/>
      <c r="H127" s="54"/>
      <c r="I127" s="78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74"/>
      <c r="AN127" s="61">
        <f ca="1">SUM('AC-SVC'!C127)</f>
        <v>0</v>
      </c>
      <c r="AO127" s="61">
        <f ca="1">SUM('AC-SVC'!D127)</f>
        <v>0</v>
      </c>
      <c r="AP127" s="61">
        <f ca="1">SUM('AC-SVC'!E127)</f>
        <v>0</v>
      </c>
      <c r="AQ127" s="61">
        <f ca="1">SUM('AC-SVC'!F127)</f>
        <v>0</v>
      </c>
      <c r="AR127" s="61">
        <f ca="1">SUM('AC-SVC'!G127)</f>
        <v>0</v>
      </c>
      <c r="AS127" s="61">
        <f ca="1">SUM('AC-SVC'!H127)</f>
        <v>0</v>
      </c>
      <c r="AT127" s="61">
        <f ca="1">SUM(PT!E127)</f>
        <v>0</v>
      </c>
      <c r="AU127" s="61">
        <f ca="1">SUM(FC!F127)</f>
        <v>0</v>
      </c>
      <c r="AV127" s="61">
        <f ca="1">SUM(FN!H127)</f>
        <v>0</v>
      </c>
      <c r="AW127" s="61">
        <f ca="1">SUM(FS!F127)</f>
        <v>0</v>
      </c>
      <c r="AX127" s="61">
        <f ca="1">SUM(IT!F127)</f>
        <v>0</v>
      </c>
      <c r="AY127" s="87"/>
      <c r="AZ127" s="67">
        <f t="shared" si="73"/>
        <v>0</v>
      </c>
    </row>
    <row r="128" spans="1:52">
      <c r="A128" s="33" t="s">
        <v>55</v>
      </c>
      <c r="B128" s="33" t="s">
        <v>245</v>
      </c>
      <c r="C128" s="54"/>
      <c r="D128" s="54">
        <f t="shared" si="70"/>
        <v>0</v>
      </c>
      <c r="E128" s="71">
        <f t="shared" si="71"/>
        <v>0</v>
      </c>
      <c r="F128" s="71">
        <f t="shared" si="72"/>
        <v>0</v>
      </c>
      <c r="G128" s="54"/>
      <c r="H128" s="54"/>
      <c r="I128" s="78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74"/>
      <c r="AN128" s="61">
        <f ca="1">SUM('AC-SVC'!C128)</f>
        <v>0</v>
      </c>
      <c r="AO128" s="61">
        <f ca="1">SUM('AC-SVC'!D128)</f>
        <v>0</v>
      </c>
      <c r="AP128" s="61">
        <f ca="1">SUM('AC-SVC'!E128)</f>
        <v>0</v>
      </c>
      <c r="AQ128" s="61">
        <f ca="1">SUM('AC-SVC'!F128)</f>
        <v>0</v>
      </c>
      <c r="AR128" s="61">
        <f ca="1">SUM('AC-SVC'!G128)</f>
        <v>0</v>
      </c>
      <c r="AS128" s="61">
        <f ca="1">SUM('AC-SVC'!H128)</f>
        <v>0</v>
      </c>
      <c r="AT128" s="61">
        <f ca="1">SUM(PT!E128)</f>
        <v>0</v>
      </c>
      <c r="AU128" s="61">
        <f ca="1">SUM(FC!F128)</f>
        <v>3000</v>
      </c>
      <c r="AV128" s="61">
        <f ca="1">SUM(FN!H128)</f>
        <v>0</v>
      </c>
      <c r="AW128" s="61">
        <f ca="1">SUM(FS!F128)</f>
        <v>0</v>
      </c>
      <c r="AX128" s="61">
        <f ca="1">SUM(IT!F128)</f>
        <v>0</v>
      </c>
      <c r="AY128" s="87"/>
      <c r="AZ128" s="67">
        <f t="shared" si="73"/>
        <v>3000</v>
      </c>
    </row>
    <row r="129" spans="1:52" ht="10.5" customHeight="1">
      <c r="A129" s="33" t="s">
        <v>54</v>
      </c>
      <c r="B129" s="33" t="s">
        <v>244</v>
      </c>
      <c r="C129" s="54"/>
      <c r="D129" s="54">
        <f t="shared" si="70"/>
        <v>0</v>
      </c>
      <c r="E129" s="71">
        <f t="shared" si="71"/>
        <v>0</v>
      </c>
      <c r="F129" s="71">
        <f t="shared" si="72"/>
        <v>0</v>
      </c>
      <c r="G129" s="54"/>
      <c r="H129" s="54"/>
      <c r="I129" s="78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74"/>
      <c r="AN129" s="61">
        <f ca="1">SUM('AC-SVC'!C129)</f>
        <v>0</v>
      </c>
      <c r="AO129" s="61">
        <f ca="1">SUM('AC-SVC'!D129)</f>
        <v>0</v>
      </c>
      <c r="AP129" s="61">
        <f ca="1">SUM('AC-SVC'!E129)</f>
        <v>0</v>
      </c>
      <c r="AQ129" s="61">
        <f ca="1">SUM('AC-SVC'!F129)</f>
        <v>0</v>
      </c>
      <c r="AR129" s="61">
        <f ca="1">SUM('AC-SVC'!G129)</f>
        <v>0</v>
      </c>
      <c r="AS129" s="61">
        <f ca="1">SUM('AC-SVC'!H129)</f>
        <v>0</v>
      </c>
      <c r="AT129" s="61">
        <f ca="1">SUM(PT!E129)</f>
        <v>0</v>
      </c>
      <c r="AU129" s="61">
        <f ca="1">SUM(FC!F129)</f>
        <v>50000</v>
      </c>
      <c r="AV129" s="61">
        <f ca="1">SUM(FN!H129)</f>
        <v>0</v>
      </c>
      <c r="AW129" s="61">
        <f ca="1">SUM(FS!F129)</f>
        <v>0</v>
      </c>
      <c r="AX129" s="61">
        <f ca="1">SUM(IT!F129)</f>
        <v>0</v>
      </c>
      <c r="AY129" s="87"/>
      <c r="AZ129" s="67">
        <f t="shared" si="73"/>
        <v>50000</v>
      </c>
    </row>
    <row r="130" spans="1:52">
      <c r="A130" s="33" t="s">
        <v>60</v>
      </c>
      <c r="B130" s="33" t="s">
        <v>61</v>
      </c>
      <c r="C130" s="54">
        <v>20000</v>
      </c>
      <c r="D130" s="54">
        <f t="shared" si="70"/>
        <v>0</v>
      </c>
      <c r="E130" s="71">
        <f t="shared" si="71"/>
        <v>0</v>
      </c>
      <c r="F130" s="71">
        <f t="shared" si="72"/>
        <v>0</v>
      </c>
      <c r="G130" s="54"/>
      <c r="H130" s="54"/>
      <c r="I130" s="78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74"/>
      <c r="AN130" s="61">
        <f ca="1">SUM('AC-SVC'!C130)</f>
        <v>0</v>
      </c>
      <c r="AO130" s="61">
        <f ca="1">SUM('AC-SVC'!D130)</f>
        <v>0</v>
      </c>
      <c r="AP130" s="61">
        <f ca="1">SUM('AC-SVC'!E130)</f>
        <v>0</v>
      </c>
      <c r="AQ130" s="61">
        <f ca="1">SUM('AC-SVC'!F130)</f>
        <v>0</v>
      </c>
      <c r="AR130" s="61">
        <f ca="1">SUM('AC-SVC'!G130)</f>
        <v>0</v>
      </c>
      <c r="AS130" s="61">
        <f ca="1">SUM('AC-SVC'!H130)</f>
        <v>0</v>
      </c>
      <c r="AT130" s="61">
        <f ca="1">SUM(PT!E130)</f>
        <v>0</v>
      </c>
      <c r="AU130" s="61">
        <f ca="1">SUM(FC!F130)</f>
        <v>6000</v>
      </c>
      <c r="AV130" s="61">
        <f ca="1">SUM(FN!H130)</f>
        <v>0</v>
      </c>
      <c r="AW130" s="61">
        <f ca="1">SUM(FS!F130)</f>
        <v>0</v>
      </c>
      <c r="AX130" s="61">
        <f ca="1">SUM(IT!F130)</f>
        <v>0</v>
      </c>
      <c r="AY130" s="87"/>
      <c r="AZ130" s="67">
        <f t="shared" si="73"/>
        <v>26000</v>
      </c>
    </row>
    <row r="131" spans="1:52">
      <c r="A131" s="33" t="s">
        <v>485</v>
      </c>
      <c r="B131" s="33" t="s">
        <v>449</v>
      </c>
      <c r="C131" s="54">
        <f ca="1">SUM(SUM!B7)*610</f>
        <v>188490</v>
      </c>
      <c r="D131" s="54">
        <f>SUM(J131:M131)</f>
        <v>0</v>
      </c>
      <c r="E131" s="71">
        <f t="shared" si="71"/>
        <v>0</v>
      </c>
      <c r="F131" s="71">
        <f t="shared" si="72"/>
        <v>0</v>
      </c>
      <c r="G131" s="54"/>
      <c r="H131" s="54"/>
      <c r="I131" s="78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74"/>
      <c r="AN131" s="61">
        <f ca="1">SUM('AC-SVC'!C131)</f>
        <v>0</v>
      </c>
      <c r="AO131" s="61">
        <f ca="1">SUM('AC-SVC'!D131)</f>
        <v>0</v>
      </c>
      <c r="AP131" s="61">
        <f ca="1">SUM('AC-SVC'!E131)</f>
        <v>0</v>
      </c>
      <c r="AQ131" s="61">
        <f ca="1">SUM('AC-SVC'!F131)</f>
        <v>0</v>
      </c>
      <c r="AR131" s="61">
        <f ca="1">SUM('AC-SVC'!G131)</f>
        <v>0</v>
      </c>
      <c r="AS131" s="61">
        <f ca="1">SUM('AC-SVC'!H131)</f>
        <v>0</v>
      </c>
      <c r="AT131" s="61">
        <f ca="1">SUM(PT!E131)</f>
        <v>0</v>
      </c>
      <c r="AU131" s="61">
        <f ca="1">SUM(FC!F131)</f>
        <v>0</v>
      </c>
      <c r="AV131" s="61">
        <f ca="1">SUM(FN!H131)</f>
        <v>0</v>
      </c>
      <c r="AW131" s="61">
        <f ca="1">SUM(FS!F131)</f>
        <v>0</v>
      </c>
      <c r="AX131" s="61">
        <f ca="1">SUM(IT!F131)</f>
        <v>0</v>
      </c>
      <c r="AY131" s="87"/>
      <c r="AZ131" s="67">
        <f t="shared" si="73"/>
        <v>188490</v>
      </c>
    </row>
    <row r="132" spans="1:52">
      <c r="A132" s="33" t="s">
        <v>62</v>
      </c>
      <c r="B132" s="33" t="s">
        <v>249</v>
      </c>
      <c r="C132" s="55">
        <f>1300*12+70*4+500*12</f>
        <v>21880</v>
      </c>
      <c r="D132" s="55">
        <f t="shared" si="70"/>
        <v>0</v>
      </c>
      <c r="E132" s="55">
        <f t="shared" si="71"/>
        <v>0</v>
      </c>
      <c r="F132" s="55">
        <f t="shared" si="72"/>
        <v>0</v>
      </c>
      <c r="G132" s="55"/>
      <c r="H132" s="55"/>
      <c r="I132" s="80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74"/>
      <c r="AN132" s="40">
        <f ca="1">SUM('AC-SVC'!C132)</f>
        <v>0</v>
      </c>
      <c r="AO132" s="40">
        <f ca="1">SUM('AC-SVC'!D132)</f>
        <v>0</v>
      </c>
      <c r="AP132" s="40">
        <f ca="1">SUM('AC-SVC'!E132)</f>
        <v>0</v>
      </c>
      <c r="AQ132" s="40">
        <f ca="1">SUM('AC-SVC'!F132)</f>
        <v>0</v>
      </c>
      <c r="AR132" s="40">
        <f ca="1">SUM('AC-SVC'!G132)</f>
        <v>0</v>
      </c>
      <c r="AS132" s="40">
        <f ca="1">SUM('AC-SVC'!H132)</f>
        <v>0</v>
      </c>
      <c r="AT132" s="40">
        <f ca="1">SUM(PT!E132)</f>
        <v>0</v>
      </c>
      <c r="AU132" s="40">
        <f ca="1">SUM(FC!F132)</f>
        <v>1500</v>
      </c>
      <c r="AV132" s="40">
        <f ca="1">SUM(FN!H132)</f>
        <v>0</v>
      </c>
      <c r="AW132" s="40">
        <f ca="1">SUM(FS!F132)</f>
        <v>0</v>
      </c>
      <c r="AX132" s="40">
        <f ca="1">SUM(IT!F132)</f>
        <v>0</v>
      </c>
      <c r="AY132" s="80"/>
      <c r="AZ132" s="66">
        <f t="shared" si="73"/>
        <v>23380</v>
      </c>
    </row>
    <row r="133" spans="1:52">
      <c r="B133" s="33" t="s">
        <v>250</v>
      </c>
      <c r="C133" s="54">
        <f t="shared" ref="C133:H133" si="74">SUM(C125:C132)</f>
        <v>230370</v>
      </c>
      <c r="D133" s="54">
        <f t="shared" si="74"/>
        <v>0</v>
      </c>
      <c r="E133" s="54">
        <f t="shared" si="74"/>
        <v>0</v>
      </c>
      <c r="F133" s="54">
        <f t="shared" si="74"/>
        <v>0</v>
      </c>
      <c r="G133" s="54">
        <f t="shared" si="74"/>
        <v>0</v>
      </c>
      <c r="H133" s="54">
        <f t="shared" si="74"/>
        <v>0</v>
      </c>
      <c r="I133" s="78"/>
      <c r="J133" s="54">
        <f t="shared" ref="J133:AL133" si="75">SUM(J125:J132)</f>
        <v>0</v>
      </c>
      <c r="K133" s="54">
        <f t="shared" si="75"/>
        <v>0</v>
      </c>
      <c r="L133" s="54">
        <f t="shared" si="75"/>
        <v>0</v>
      </c>
      <c r="M133" s="54">
        <f t="shared" si="75"/>
        <v>0</v>
      </c>
      <c r="N133" s="54"/>
      <c r="O133" s="54">
        <f t="shared" si="75"/>
        <v>0</v>
      </c>
      <c r="P133" s="54">
        <f t="shared" si="75"/>
        <v>0</v>
      </c>
      <c r="Q133" s="54">
        <f t="shared" si="75"/>
        <v>0</v>
      </c>
      <c r="R133" s="54">
        <f t="shared" si="75"/>
        <v>0</v>
      </c>
      <c r="S133" s="54">
        <f t="shared" si="75"/>
        <v>0</v>
      </c>
      <c r="T133" s="54">
        <f t="shared" si="75"/>
        <v>0</v>
      </c>
      <c r="U133" s="54">
        <f t="shared" si="75"/>
        <v>0</v>
      </c>
      <c r="V133" s="54">
        <f t="shared" si="75"/>
        <v>0</v>
      </c>
      <c r="W133" s="54">
        <f t="shared" si="75"/>
        <v>0</v>
      </c>
      <c r="X133" s="54">
        <f t="shared" si="75"/>
        <v>0</v>
      </c>
      <c r="Y133" s="54">
        <f t="shared" si="75"/>
        <v>0</v>
      </c>
      <c r="Z133" s="54">
        <f t="shared" si="75"/>
        <v>0</v>
      </c>
      <c r="AA133" s="54">
        <f t="shared" si="75"/>
        <v>0</v>
      </c>
      <c r="AB133" s="54">
        <f t="shared" si="75"/>
        <v>0</v>
      </c>
      <c r="AC133" s="54">
        <f t="shared" si="75"/>
        <v>0</v>
      </c>
      <c r="AD133" s="54">
        <f t="shared" si="75"/>
        <v>0</v>
      </c>
      <c r="AE133" s="54">
        <f t="shared" si="75"/>
        <v>0</v>
      </c>
      <c r="AF133" s="54">
        <f t="shared" si="75"/>
        <v>0</v>
      </c>
      <c r="AG133" s="54">
        <f t="shared" si="75"/>
        <v>0</v>
      </c>
      <c r="AH133" s="54">
        <f t="shared" si="75"/>
        <v>0</v>
      </c>
      <c r="AI133" s="54">
        <f t="shared" si="75"/>
        <v>0</v>
      </c>
      <c r="AJ133" s="54">
        <f t="shared" si="75"/>
        <v>0</v>
      </c>
      <c r="AK133" s="54">
        <f>SUM(AK125:AK132)</f>
        <v>0</v>
      </c>
      <c r="AL133" s="54">
        <f t="shared" si="75"/>
        <v>0</v>
      </c>
      <c r="AM133" s="74"/>
      <c r="AN133" s="39">
        <f>SUM(AN125:AN132)</f>
        <v>0</v>
      </c>
      <c r="AO133" s="39">
        <f t="shared" ref="AO133:AX133" si="76">SUM(AO125:AO132)</f>
        <v>0</v>
      </c>
      <c r="AP133" s="39">
        <f t="shared" si="76"/>
        <v>0</v>
      </c>
      <c r="AQ133" s="39">
        <f t="shared" si="76"/>
        <v>0</v>
      </c>
      <c r="AR133" s="39">
        <f t="shared" si="76"/>
        <v>0</v>
      </c>
      <c r="AS133" s="39">
        <f>SUM(AS125:AS132)</f>
        <v>0</v>
      </c>
      <c r="AT133" s="39">
        <f t="shared" si="76"/>
        <v>0</v>
      </c>
      <c r="AU133" s="39">
        <f t="shared" si="76"/>
        <v>65300</v>
      </c>
      <c r="AV133" s="39">
        <f t="shared" si="76"/>
        <v>0</v>
      </c>
      <c r="AW133" s="39">
        <f t="shared" si="76"/>
        <v>0</v>
      </c>
      <c r="AX133" s="39">
        <f t="shared" si="76"/>
        <v>0</v>
      </c>
      <c r="AY133" s="78"/>
      <c r="AZ133" s="57">
        <f>SUM(AZ125:AZ132)</f>
        <v>295670</v>
      </c>
    </row>
    <row r="134" spans="1:52">
      <c r="C134" s="54"/>
      <c r="D134" s="54"/>
      <c r="E134" s="54"/>
      <c r="F134" s="54"/>
      <c r="G134" s="54"/>
      <c r="H134" s="54"/>
      <c r="I134" s="78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74"/>
      <c r="AN134" s="39"/>
      <c r="AO134" s="54"/>
      <c r="AP134" s="39"/>
      <c r="AQ134" s="39"/>
      <c r="AR134" s="39"/>
      <c r="AS134" s="39"/>
      <c r="AT134" s="39"/>
      <c r="AU134" s="39"/>
      <c r="AV134" s="39"/>
      <c r="AW134" s="39"/>
      <c r="AX134" s="39"/>
      <c r="AY134" s="78"/>
      <c r="AZ134" s="57"/>
    </row>
    <row r="135" spans="1:52">
      <c r="A135" s="33" t="s">
        <v>251</v>
      </c>
      <c r="C135" s="54"/>
      <c r="D135" s="54"/>
      <c r="E135" s="54"/>
      <c r="F135" s="54"/>
      <c r="G135" s="54"/>
      <c r="H135" s="54"/>
      <c r="I135" s="78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74"/>
      <c r="AN135" s="39"/>
      <c r="AO135" s="54"/>
      <c r="AP135" s="39"/>
      <c r="AQ135" s="39"/>
      <c r="AR135" s="39"/>
      <c r="AS135" s="39"/>
      <c r="AT135" s="39"/>
      <c r="AU135" s="39"/>
      <c r="AV135" s="39"/>
      <c r="AW135" s="39"/>
      <c r="AX135" s="39"/>
      <c r="AY135" s="78"/>
      <c r="AZ135" s="57"/>
    </row>
    <row r="136" spans="1:52">
      <c r="A136" s="33" t="s">
        <v>252</v>
      </c>
      <c r="C136" s="54"/>
      <c r="D136" s="54"/>
      <c r="E136" s="54"/>
      <c r="F136" s="54"/>
      <c r="G136" s="54"/>
      <c r="H136" s="54"/>
      <c r="I136" s="78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74"/>
      <c r="AN136" s="39"/>
      <c r="AO136" s="54"/>
      <c r="AP136" s="39"/>
      <c r="AQ136" s="39"/>
      <c r="AR136" s="39"/>
      <c r="AS136" s="39"/>
      <c r="AT136" s="39"/>
      <c r="AU136" s="39"/>
      <c r="AV136" s="39"/>
      <c r="AW136" s="39"/>
      <c r="AX136" s="39"/>
      <c r="AY136" s="78"/>
      <c r="AZ136" s="57"/>
    </row>
    <row r="137" spans="1:52">
      <c r="A137" s="33" t="s">
        <v>63</v>
      </c>
      <c r="B137" s="33" t="s">
        <v>253</v>
      </c>
      <c r="C137" s="54"/>
      <c r="D137" s="54">
        <f>SUM(J137:M137)</f>
        <v>0</v>
      </c>
      <c r="E137" s="71">
        <f>SUM(O137:AG137)</f>
        <v>0</v>
      </c>
      <c r="F137" s="71">
        <f>SUM(AH137:AL137)</f>
        <v>0</v>
      </c>
      <c r="G137" s="54"/>
      <c r="H137" s="54"/>
      <c r="I137" s="78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74"/>
      <c r="AN137" s="61">
        <f ca="1">SUM('AC-SVC'!C137)</f>
        <v>0</v>
      </c>
      <c r="AO137" s="61">
        <f ca="1">SUM('AC-SVC'!D137)</f>
        <v>0</v>
      </c>
      <c r="AP137" s="61">
        <f ca="1">SUM('AC-SVC'!E137)</f>
        <v>0</v>
      </c>
      <c r="AQ137" s="61">
        <f ca="1">SUM('AC-SVC'!F137)</f>
        <v>0</v>
      </c>
      <c r="AR137" s="61">
        <f ca="1">SUM('AC-SVC'!G137)</f>
        <v>0</v>
      </c>
      <c r="AS137" s="61">
        <f ca="1">SUM('AC-SVC'!H137)</f>
        <v>0</v>
      </c>
      <c r="AT137" s="61">
        <f ca="1">SUM(PT!E137)</f>
        <v>0</v>
      </c>
      <c r="AU137" s="61">
        <f ca="1">SUM(FC!F137)</f>
        <v>0</v>
      </c>
      <c r="AV137" s="61">
        <f ca="1">SUM(FN!H137)</f>
        <v>0</v>
      </c>
      <c r="AW137" s="61">
        <f ca="1">SUM(FS!F137)</f>
        <v>0</v>
      </c>
      <c r="AX137" s="61">
        <f ca="1">SUM(IT!F137)</f>
        <v>0</v>
      </c>
      <c r="AY137" s="87"/>
      <c r="AZ137" s="67">
        <f>SUM(C137:H137)+SUM(AN137:AX137)</f>
        <v>0</v>
      </c>
    </row>
    <row r="138" spans="1:52">
      <c r="A138" s="33" t="s">
        <v>64</v>
      </c>
      <c r="B138" s="33" t="s">
        <v>254</v>
      </c>
      <c r="C138" s="54">
        <f ca="1">SUM(SUM!B7)*107</f>
        <v>33063</v>
      </c>
      <c r="D138" s="54">
        <f>SUM(J138:M138)</f>
        <v>0</v>
      </c>
      <c r="E138" s="71">
        <f>SUM(O138:AG138)</f>
        <v>0</v>
      </c>
      <c r="F138" s="71">
        <f>SUM(AH138:AL138)</f>
        <v>0</v>
      </c>
      <c r="G138" s="54"/>
      <c r="H138" s="54"/>
      <c r="I138" s="78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74"/>
      <c r="AN138" s="61">
        <f ca="1">SUM('AC-SVC'!C138)</f>
        <v>0</v>
      </c>
      <c r="AO138" s="61">
        <f ca="1">SUM('AC-SVC'!D138)</f>
        <v>0</v>
      </c>
      <c r="AP138" s="61">
        <f ca="1">SUM('AC-SVC'!E138)</f>
        <v>0</v>
      </c>
      <c r="AQ138" s="61">
        <f ca="1">SUM('AC-SVC'!F138)</f>
        <v>0</v>
      </c>
      <c r="AR138" s="61">
        <f ca="1">SUM('AC-SVC'!G138)</f>
        <v>0</v>
      </c>
      <c r="AS138" s="61">
        <f ca="1">SUM('AC-SVC'!H138)</f>
        <v>0</v>
      </c>
      <c r="AT138" s="61">
        <f ca="1">SUM(PT!E138)</f>
        <v>0</v>
      </c>
      <c r="AU138" s="61">
        <f ca="1">SUM(FC!F138)</f>
        <v>39794.262499999997</v>
      </c>
      <c r="AV138" s="61">
        <f ca="1">SUM(FN!H138)</f>
        <v>0</v>
      </c>
      <c r="AW138" s="61">
        <f ca="1">SUM(FS!F138)</f>
        <v>0</v>
      </c>
      <c r="AX138" s="61">
        <f ca="1">SUM(IT!F138)</f>
        <v>0</v>
      </c>
      <c r="AY138" s="87"/>
      <c r="AZ138" s="67">
        <f>SUM(C138:H138)+SUM(AN138:AX138)</f>
        <v>72857.262499999997</v>
      </c>
    </row>
    <row r="139" spans="1:52">
      <c r="A139" s="33" t="s">
        <v>517</v>
      </c>
      <c r="B139" s="33" t="s">
        <v>455</v>
      </c>
      <c r="C139" s="54"/>
      <c r="D139" s="54">
        <f>SUM(J139:M139)</f>
        <v>0</v>
      </c>
      <c r="E139" s="71">
        <f>SUM(O139:AG139)</f>
        <v>0</v>
      </c>
      <c r="F139" s="71">
        <f>SUM(AH139:AL139)</f>
        <v>0</v>
      </c>
      <c r="G139" s="54"/>
      <c r="H139" s="54"/>
      <c r="I139" s="78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74"/>
      <c r="AN139" s="61">
        <f ca="1">SUM('AC-SVC'!C139)</f>
        <v>0</v>
      </c>
      <c r="AO139" s="61">
        <f ca="1">SUM('AC-SVC'!D139)</f>
        <v>0</v>
      </c>
      <c r="AP139" s="61">
        <f ca="1">SUM('AC-SVC'!E139)</f>
        <v>0</v>
      </c>
      <c r="AQ139" s="61">
        <f ca="1">SUM('AC-SVC'!F139)</f>
        <v>0</v>
      </c>
      <c r="AR139" s="61">
        <f ca="1">SUM('AC-SVC'!G139)</f>
        <v>0</v>
      </c>
      <c r="AS139" s="61">
        <f ca="1">SUM('AC-SVC'!H139)</f>
        <v>0</v>
      </c>
      <c r="AT139" s="61">
        <f ca="1">SUM(PT!E139)</f>
        <v>0</v>
      </c>
      <c r="AU139" s="61">
        <f ca="1">SUM(FC!F139)</f>
        <v>0</v>
      </c>
      <c r="AV139" s="61">
        <f ca="1">SUM(FN!H139)</f>
        <v>0</v>
      </c>
      <c r="AW139" s="61">
        <f ca="1">SUM(FS!F139)</f>
        <v>0</v>
      </c>
      <c r="AX139" s="61">
        <f ca="1">SUM(IT!F139)</f>
        <v>0</v>
      </c>
      <c r="AY139" s="87"/>
      <c r="AZ139" s="67">
        <f>SUM(C139:H139)+SUM(AN139:AX139)</f>
        <v>0</v>
      </c>
    </row>
    <row r="140" spans="1:52">
      <c r="A140" s="33" t="s">
        <v>65</v>
      </c>
      <c r="B140" s="33" t="s">
        <v>255</v>
      </c>
      <c r="C140" s="55"/>
      <c r="D140" s="55">
        <f>SUM(J140:M140)</f>
        <v>0</v>
      </c>
      <c r="E140" s="55">
        <f>SUM(O140:AG140)</f>
        <v>0</v>
      </c>
      <c r="F140" s="55">
        <f>SUM(AH140:AL140)</f>
        <v>0</v>
      </c>
      <c r="G140" s="55"/>
      <c r="H140" s="55"/>
      <c r="I140" s="80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74"/>
      <c r="AN140" s="40">
        <f ca="1">SUM('AC-SVC'!C140)</f>
        <v>0</v>
      </c>
      <c r="AO140" s="40">
        <f ca="1">SUM('AC-SVC'!D140)</f>
        <v>0</v>
      </c>
      <c r="AP140" s="40">
        <f ca="1">SUM('AC-SVC'!E140)</f>
        <v>0</v>
      </c>
      <c r="AQ140" s="40">
        <f ca="1">SUM('AC-SVC'!F140)</f>
        <v>0</v>
      </c>
      <c r="AR140" s="40">
        <f ca="1">SUM('AC-SVC'!G140)</f>
        <v>0</v>
      </c>
      <c r="AS140" s="40">
        <f ca="1">SUM('AC-SVC'!H140)</f>
        <v>0</v>
      </c>
      <c r="AT140" s="40">
        <f ca="1">SUM(PT!E140)</f>
        <v>0</v>
      </c>
      <c r="AU140" s="40">
        <f ca="1">SUM(FC!F140)</f>
        <v>0</v>
      </c>
      <c r="AV140" s="40">
        <f ca="1">SUM(FN!H140)</f>
        <v>0</v>
      </c>
      <c r="AW140" s="40">
        <f ca="1">SUM(FS!F140)</f>
        <v>0</v>
      </c>
      <c r="AX140" s="40">
        <f ca="1">SUM(IT!F140)</f>
        <v>0</v>
      </c>
      <c r="AY140" s="80"/>
      <c r="AZ140" s="66">
        <f>SUM(C140:H140)+SUM(AN140:AX140)</f>
        <v>0</v>
      </c>
    </row>
    <row r="141" spans="1:52">
      <c r="B141" s="33" t="s">
        <v>256</v>
      </c>
      <c r="C141" s="54">
        <f t="shared" ref="C141:H141" si="77">SUM(C137:C140)</f>
        <v>33063</v>
      </c>
      <c r="D141" s="54">
        <f t="shared" si="77"/>
        <v>0</v>
      </c>
      <c r="E141" s="54">
        <f t="shared" si="77"/>
        <v>0</v>
      </c>
      <c r="F141" s="54">
        <f t="shared" si="77"/>
        <v>0</v>
      </c>
      <c r="G141" s="54">
        <f t="shared" si="77"/>
        <v>0</v>
      </c>
      <c r="H141" s="54">
        <f t="shared" si="77"/>
        <v>0</v>
      </c>
      <c r="I141" s="78"/>
      <c r="J141" s="54">
        <f t="shared" ref="J141:AL141" si="78">SUM(J137:J140)</f>
        <v>0</v>
      </c>
      <c r="K141" s="54">
        <f t="shared" si="78"/>
        <v>0</v>
      </c>
      <c r="L141" s="54">
        <f t="shared" si="78"/>
        <v>0</v>
      </c>
      <c r="M141" s="54">
        <f t="shared" si="78"/>
        <v>0</v>
      </c>
      <c r="N141" s="54"/>
      <c r="O141" s="54">
        <f t="shared" si="78"/>
        <v>0</v>
      </c>
      <c r="P141" s="54">
        <f t="shared" si="78"/>
        <v>0</v>
      </c>
      <c r="Q141" s="54">
        <f t="shared" si="78"/>
        <v>0</v>
      </c>
      <c r="R141" s="54">
        <f t="shared" si="78"/>
        <v>0</v>
      </c>
      <c r="S141" s="54">
        <f t="shared" si="78"/>
        <v>0</v>
      </c>
      <c r="T141" s="54">
        <f t="shared" si="78"/>
        <v>0</v>
      </c>
      <c r="U141" s="54">
        <f t="shared" si="78"/>
        <v>0</v>
      </c>
      <c r="V141" s="54">
        <f t="shared" si="78"/>
        <v>0</v>
      </c>
      <c r="W141" s="54">
        <f t="shared" si="78"/>
        <v>0</v>
      </c>
      <c r="X141" s="54">
        <f t="shared" si="78"/>
        <v>0</v>
      </c>
      <c r="Y141" s="54">
        <f t="shared" si="78"/>
        <v>0</v>
      </c>
      <c r="Z141" s="54">
        <f t="shared" si="78"/>
        <v>0</v>
      </c>
      <c r="AA141" s="54">
        <f t="shared" si="78"/>
        <v>0</v>
      </c>
      <c r="AB141" s="54">
        <f t="shared" si="78"/>
        <v>0</v>
      </c>
      <c r="AC141" s="54">
        <f t="shared" si="78"/>
        <v>0</v>
      </c>
      <c r="AD141" s="54">
        <f t="shared" si="78"/>
        <v>0</v>
      </c>
      <c r="AE141" s="54">
        <f t="shared" si="78"/>
        <v>0</v>
      </c>
      <c r="AF141" s="54">
        <f t="shared" si="78"/>
        <v>0</v>
      </c>
      <c r="AG141" s="54">
        <f t="shared" si="78"/>
        <v>0</v>
      </c>
      <c r="AH141" s="54">
        <f t="shared" si="78"/>
        <v>0</v>
      </c>
      <c r="AI141" s="54">
        <f t="shared" si="78"/>
        <v>0</v>
      </c>
      <c r="AJ141" s="54">
        <f t="shared" si="78"/>
        <v>0</v>
      </c>
      <c r="AK141" s="54">
        <f>SUM(AK137:AK140)</f>
        <v>0</v>
      </c>
      <c r="AL141" s="54">
        <f t="shared" si="78"/>
        <v>0</v>
      </c>
      <c r="AM141" s="74"/>
      <c r="AN141" s="39">
        <f t="shared" ref="AN141:AX141" si="79">+SUM(AN137:AN140)</f>
        <v>0</v>
      </c>
      <c r="AO141" s="54">
        <f t="shared" si="79"/>
        <v>0</v>
      </c>
      <c r="AP141" s="39">
        <f t="shared" si="79"/>
        <v>0</v>
      </c>
      <c r="AQ141" s="39">
        <f t="shared" si="79"/>
        <v>0</v>
      </c>
      <c r="AR141" s="39">
        <f t="shared" si="79"/>
        <v>0</v>
      </c>
      <c r="AS141" s="39">
        <f>+SUM(AS137:AS140)</f>
        <v>0</v>
      </c>
      <c r="AT141" s="39">
        <f t="shared" si="79"/>
        <v>0</v>
      </c>
      <c r="AU141" s="39">
        <f t="shared" si="79"/>
        <v>39794.262499999997</v>
      </c>
      <c r="AV141" s="39">
        <f t="shared" si="79"/>
        <v>0</v>
      </c>
      <c r="AW141" s="39">
        <f t="shared" si="79"/>
        <v>0</v>
      </c>
      <c r="AX141" s="39">
        <f t="shared" si="79"/>
        <v>0</v>
      </c>
      <c r="AY141" s="78"/>
      <c r="AZ141" s="57">
        <f>SUM(AZ137:AZ140)</f>
        <v>72857.262499999997</v>
      </c>
    </row>
    <row r="142" spans="1:52">
      <c r="C142" s="54"/>
      <c r="D142" s="54"/>
      <c r="E142" s="54"/>
      <c r="F142" s="54"/>
      <c r="G142" s="54"/>
      <c r="H142" s="54"/>
      <c r="I142" s="78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74"/>
      <c r="AN142" s="39"/>
      <c r="AO142" s="54"/>
      <c r="AP142" s="39"/>
      <c r="AQ142" s="39"/>
      <c r="AR142" s="39"/>
      <c r="AS142" s="39"/>
      <c r="AT142" s="39"/>
      <c r="AU142" s="39"/>
      <c r="AV142" s="39"/>
      <c r="AW142" s="39"/>
      <c r="AX142" s="39"/>
      <c r="AY142" s="78"/>
      <c r="AZ142" s="57"/>
    </row>
    <row r="143" spans="1:52">
      <c r="A143" s="33" t="s">
        <v>257</v>
      </c>
      <c r="C143" s="54"/>
      <c r="D143" s="54"/>
      <c r="E143" s="54"/>
      <c r="F143" s="54"/>
      <c r="G143" s="54"/>
      <c r="H143" s="54"/>
      <c r="I143" s="78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74"/>
      <c r="AN143" s="39"/>
      <c r="AO143" s="54"/>
      <c r="AP143" s="39"/>
      <c r="AQ143" s="39"/>
      <c r="AR143" s="39"/>
      <c r="AS143" s="39"/>
      <c r="AT143" s="39"/>
      <c r="AU143" s="39"/>
      <c r="AV143" s="39"/>
      <c r="AW143" s="39"/>
      <c r="AX143" s="39"/>
      <c r="AY143" s="78"/>
      <c r="AZ143" s="57"/>
    </row>
    <row r="144" spans="1:52">
      <c r="A144" s="33" t="s">
        <v>66</v>
      </c>
      <c r="B144" s="33" t="s">
        <v>258</v>
      </c>
      <c r="C144" s="54"/>
      <c r="D144" s="54">
        <f t="shared" ref="D144:D149" si="80">SUM(J144:M144)</f>
        <v>0</v>
      </c>
      <c r="E144" s="71">
        <f t="shared" ref="E144:E149" si="81">SUM(O144:AG144)</f>
        <v>0</v>
      </c>
      <c r="F144" s="71">
        <f t="shared" ref="F144:F149" si="82">SUM(AH144:AL144)</f>
        <v>0</v>
      </c>
      <c r="G144" s="54"/>
      <c r="H144" s="54"/>
      <c r="I144" s="78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74"/>
      <c r="AN144" s="61">
        <f ca="1">SUM('AC-SVC'!C144)</f>
        <v>0</v>
      </c>
      <c r="AO144" s="61">
        <f ca="1">SUM('AC-SVC'!D144)</f>
        <v>0</v>
      </c>
      <c r="AP144" s="61">
        <f ca="1">SUM('AC-SVC'!E144)</f>
        <v>0</v>
      </c>
      <c r="AQ144" s="61">
        <f ca="1">SUM('AC-SVC'!F144)</f>
        <v>0</v>
      </c>
      <c r="AR144" s="61">
        <f ca="1">SUM('AC-SVC'!G144)</f>
        <v>0</v>
      </c>
      <c r="AS144" s="61">
        <f ca="1">SUM('AC-SVC'!H144)</f>
        <v>0</v>
      </c>
      <c r="AT144" s="61">
        <f ca="1">SUM(PT!E144)</f>
        <v>0</v>
      </c>
      <c r="AU144" s="61">
        <f ca="1">SUM(FC!F144)</f>
        <v>0</v>
      </c>
      <c r="AV144" s="61">
        <f ca="1">SUM(FN!H144)</f>
        <v>0</v>
      </c>
      <c r="AW144" s="61">
        <f ca="1">SUM(FS!F144)</f>
        <v>0</v>
      </c>
      <c r="AX144" s="61">
        <f ca="1">SUM(IT!F144)</f>
        <v>5245.8</v>
      </c>
      <c r="AY144" s="87"/>
      <c r="AZ144" s="67">
        <f t="shared" ref="AZ144:AZ149" si="83">SUM(C144:H144)+SUM(AN144:AX144)</f>
        <v>5245.8</v>
      </c>
    </row>
    <row r="145" spans="1:52">
      <c r="A145" s="33" t="s">
        <v>67</v>
      </c>
      <c r="B145" s="33" t="s">
        <v>259</v>
      </c>
      <c r="C145" s="54"/>
      <c r="D145" s="54">
        <f t="shared" si="80"/>
        <v>0</v>
      </c>
      <c r="E145" s="71">
        <f t="shared" si="81"/>
        <v>0</v>
      </c>
      <c r="F145" s="71">
        <f t="shared" si="82"/>
        <v>0</v>
      </c>
      <c r="G145" s="54"/>
      <c r="H145" s="54"/>
      <c r="I145" s="78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74"/>
      <c r="AN145" s="61">
        <f ca="1">SUM('AC-SVC'!C145)</f>
        <v>0</v>
      </c>
      <c r="AO145" s="61">
        <f ca="1">SUM('AC-SVC'!D145)</f>
        <v>0</v>
      </c>
      <c r="AP145" s="61">
        <f ca="1">SUM('AC-SVC'!E145)</f>
        <v>0</v>
      </c>
      <c r="AQ145" s="61">
        <f ca="1">SUM('AC-SVC'!F145)</f>
        <v>0</v>
      </c>
      <c r="AR145" s="61">
        <f ca="1">SUM('AC-SVC'!G145)</f>
        <v>0</v>
      </c>
      <c r="AS145" s="61">
        <f ca="1">SUM('AC-SVC'!H145)</f>
        <v>0</v>
      </c>
      <c r="AT145" s="61">
        <f ca="1">SUM(PT!E145)</f>
        <v>0</v>
      </c>
      <c r="AU145" s="61">
        <f ca="1">SUM(FC!F145)</f>
        <v>0</v>
      </c>
      <c r="AV145" s="61">
        <f ca="1">SUM(FN!H145)</f>
        <v>0</v>
      </c>
      <c r="AW145" s="61">
        <f ca="1">SUM(FS!F145)</f>
        <v>0</v>
      </c>
      <c r="AX145" s="61">
        <f ca="1">SUM(IT!F145)</f>
        <v>0</v>
      </c>
      <c r="AY145" s="87"/>
      <c r="AZ145" s="67">
        <f t="shared" si="83"/>
        <v>0</v>
      </c>
    </row>
    <row r="146" spans="1:52">
      <c r="A146" s="33" t="s">
        <v>68</v>
      </c>
      <c r="B146" s="33" t="s">
        <v>260</v>
      </c>
      <c r="C146" s="54"/>
      <c r="D146" s="54">
        <f t="shared" si="80"/>
        <v>0</v>
      </c>
      <c r="E146" s="71">
        <f t="shared" si="81"/>
        <v>0</v>
      </c>
      <c r="F146" s="71">
        <f t="shared" si="82"/>
        <v>0</v>
      </c>
      <c r="G146" s="54">
        <f>55*12*2</f>
        <v>1320</v>
      </c>
      <c r="H146" s="54">
        <f>55*12</f>
        <v>660</v>
      </c>
      <c r="I146" s="78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74"/>
      <c r="AN146" s="61">
        <f ca="1">SUM('AC-SVC'!C146)</f>
        <v>0</v>
      </c>
      <c r="AO146" s="61">
        <f ca="1">SUM('AC-SVC'!D146)*AO7</f>
        <v>660</v>
      </c>
      <c r="AP146" s="61">
        <f ca="1">SUM('AC-SVC'!E146)*AP7</f>
        <v>660</v>
      </c>
      <c r="AQ146" s="61">
        <f ca="1">SUM('AC-SVC'!F146)*AQ7</f>
        <v>660</v>
      </c>
      <c r="AR146" s="61">
        <f ca="1">SUM('AC-SVC'!G146)</f>
        <v>0</v>
      </c>
      <c r="AS146" s="61">
        <f ca="1">SUM('AC-SVC'!H146)*AS7</f>
        <v>165</v>
      </c>
      <c r="AT146" s="61">
        <f ca="1">SUM(PT!E146)</f>
        <v>0</v>
      </c>
      <c r="AU146" s="61">
        <f ca="1">SUM(FC!F146)</f>
        <v>660</v>
      </c>
      <c r="AV146" s="61">
        <f ca="1">SUM(FN!H146)</f>
        <v>0</v>
      </c>
      <c r="AW146" s="61">
        <f ca="1">SUM(FS!F146)</f>
        <v>660</v>
      </c>
      <c r="AX146" s="61">
        <f ca="1">SUM(IT!F146)</f>
        <v>480</v>
      </c>
      <c r="AY146" s="87"/>
      <c r="AZ146" s="67">
        <f t="shared" si="83"/>
        <v>5925</v>
      </c>
    </row>
    <row r="147" spans="1:52">
      <c r="A147" s="33" t="s">
        <v>69</v>
      </c>
      <c r="B147" s="33" t="s">
        <v>261</v>
      </c>
      <c r="C147" s="54"/>
      <c r="D147" s="54">
        <f t="shared" si="80"/>
        <v>0</v>
      </c>
      <c r="E147" s="71">
        <f t="shared" si="81"/>
        <v>0</v>
      </c>
      <c r="F147" s="71">
        <f t="shared" si="82"/>
        <v>0</v>
      </c>
      <c r="G147" s="54"/>
      <c r="H147" s="54"/>
      <c r="I147" s="78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74"/>
      <c r="AN147" s="61">
        <f ca="1">SUM('AC-SVC'!C147)</f>
        <v>0</v>
      </c>
      <c r="AO147" s="61">
        <f ca="1">SUM('AC-SVC'!D147)</f>
        <v>0</v>
      </c>
      <c r="AP147" s="61">
        <f ca="1">SUM('AC-SVC'!E147)</f>
        <v>0</v>
      </c>
      <c r="AQ147" s="61">
        <f ca="1">SUM('AC-SVC'!F147)</f>
        <v>0</v>
      </c>
      <c r="AR147" s="61">
        <f ca="1">SUM('AC-SVC'!G147)</f>
        <v>0</v>
      </c>
      <c r="AS147" s="61">
        <f ca="1">SUM('AC-SVC'!H147)</f>
        <v>0</v>
      </c>
      <c r="AT147" s="61">
        <f ca="1">SUM(PT!E147)</f>
        <v>0</v>
      </c>
      <c r="AU147" s="61">
        <f ca="1">SUM(FC!F147)</f>
        <v>0</v>
      </c>
      <c r="AV147" s="61">
        <f ca="1">SUM(FN!H147)</f>
        <v>0</v>
      </c>
      <c r="AW147" s="61">
        <f ca="1">SUM(FS!F147)</f>
        <v>0</v>
      </c>
      <c r="AX147" s="61">
        <f ca="1">SUM(IT!F147)</f>
        <v>6600</v>
      </c>
      <c r="AY147" s="87"/>
      <c r="AZ147" s="67">
        <f t="shared" si="83"/>
        <v>6600</v>
      </c>
    </row>
    <row r="148" spans="1:52" ht="12" customHeight="1">
      <c r="A148" s="33" t="s">
        <v>70</v>
      </c>
      <c r="B148" s="33" t="s">
        <v>262</v>
      </c>
      <c r="C148" s="54">
        <f>300*12</f>
        <v>3600</v>
      </c>
      <c r="D148" s="54">
        <f t="shared" si="80"/>
        <v>0</v>
      </c>
      <c r="E148" s="71">
        <f t="shared" si="81"/>
        <v>0</v>
      </c>
      <c r="F148" s="71">
        <f t="shared" si="82"/>
        <v>0</v>
      </c>
      <c r="G148" s="54"/>
      <c r="H148" s="54"/>
      <c r="I148" s="78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74"/>
      <c r="AN148" s="61">
        <f ca="1">SUM('AC-SVC'!C148)</f>
        <v>0</v>
      </c>
      <c r="AO148" s="61">
        <f ca="1">SUM('AC-SVC'!D148)</f>
        <v>0</v>
      </c>
      <c r="AP148" s="61">
        <f ca="1">SUM('AC-SVC'!E148)</f>
        <v>0</v>
      </c>
      <c r="AQ148" s="61">
        <f ca="1">SUM('AC-SVC'!F148)</f>
        <v>0</v>
      </c>
      <c r="AR148" s="61">
        <f ca="1">SUM('AC-SVC'!G148)</f>
        <v>0</v>
      </c>
      <c r="AS148" s="61">
        <f ca="1">SUM('AC-SVC'!H148)</f>
        <v>0</v>
      </c>
      <c r="AT148" s="61">
        <f ca="1">SUM(PT!E148)</f>
        <v>0</v>
      </c>
      <c r="AU148" s="61">
        <f ca="1">SUM(FC!F148)</f>
        <v>0</v>
      </c>
      <c r="AV148" s="61">
        <f ca="1">SUM(FN!H148)</f>
        <v>0</v>
      </c>
      <c r="AW148" s="61">
        <f ca="1">SUM(FS!F148)</f>
        <v>0</v>
      </c>
      <c r="AX148" s="61">
        <f ca="1">SUM(IT!F148)</f>
        <v>0</v>
      </c>
      <c r="AY148" s="87"/>
      <c r="AZ148" s="67">
        <f t="shared" si="83"/>
        <v>3600</v>
      </c>
    </row>
    <row r="149" spans="1:52">
      <c r="A149" s="33" t="s">
        <v>462</v>
      </c>
      <c r="B149" s="33" t="s">
        <v>464</v>
      </c>
      <c r="C149" s="55"/>
      <c r="D149" s="55">
        <f t="shared" si="80"/>
        <v>0</v>
      </c>
      <c r="E149" s="55">
        <f t="shared" si="81"/>
        <v>0</v>
      </c>
      <c r="F149" s="55">
        <f t="shared" si="82"/>
        <v>0</v>
      </c>
      <c r="G149" s="55"/>
      <c r="H149" s="55"/>
      <c r="I149" s="80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74"/>
      <c r="AN149" s="40">
        <f ca="1">SUM('AC-SVC'!C149)</f>
        <v>0</v>
      </c>
      <c r="AO149" s="40">
        <f ca="1">SUM('AC-SVC'!D149)</f>
        <v>0</v>
      </c>
      <c r="AP149" s="40">
        <f ca="1">SUM('AC-SVC'!E149)</f>
        <v>0</v>
      </c>
      <c r="AQ149" s="40">
        <f ca="1">SUM('AC-SVC'!F149)</f>
        <v>0</v>
      </c>
      <c r="AR149" s="40">
        <f ca="1">SUM('AC-SVC'!G149)</f>
        <v>0</v>
      </c>
      <c r="AS149" s="40">
        <f ca="1">SUM('AC-SVC'!H149)</f>
        <v>0</v>
      </c>
      <c r="AT149" s="40">
        <f ca="1">SUM(PT!E149)</f>
        <v>0</v>
      </c>
      <c r="AU149" s="40">
        <f ca="1">SUM(FC!F149)</f>
        <v>0</v>
      </c>
      <c r="AV149" s="40">
        <f ca="1">SUM(FN!H149)</f>
        <v>0</v>
      </c>
      <c r="AW149" s="40">
        <f ca="1">SUM(FS!F149)</f>
        <v>0</v>
      </c>
      <c r="AX149" s="40">
        <f ca="1">SUM(IT!F149)</f>
        <v>6113.75</v>
      </c>
      <c r="AY149" s="80"/>
      <c r="AZ149" s="66">
        <f t="shared" si="83"/>
        <v>6113.75</v>
      </c>
    </row>
    <row r="150" spans="1:52">
      <c r="B150" s="33" t="s">
        <v>263</v>
      </c>
      <c r="C150" s="54">
        <f t="shared" ref="C150:H150" si="84">SUM(C144:C149)</f>
        <v>3600</v>
      </c>
      <c r="D150" s="54">
        <f t="shared" si="84"/>
        <v>0</v>
      </c>
      <c r="E150" s="54">
        <f t="shared" si="84"/>
        <v>0</v>
      </c>
      <c r="F150" s="54">
        <f t="shared" si="84"/>
        <v>0</v>
      </c>
      <c r="G150" s="54">
        <f t="shared" si="84"/>
        <v>1320</v>
      </c>
      <c r="H150" s="54">
        <f t="shared" si="84"/>
        <v>660</v>
      </c>
      <c r="I150" s="78"/>
      <c r="J150" s="54">
        <f t="shared" ref="J150:AL150" si="85">SUM(J144:J149)</f>
        <v>0</v>
      </c>
      <c r="K150" s="54">
        <f t="shared" si="85"/>
        <v>0</v>
      </c>
      <c r="L150" s="54">
        <f t="shared" si="85"/>
        <v>0</v>
      </c>
      <c r="M150" s="54">
        <f t="shared" si="85"/>
        <v>0</v>
      </c>
      <c r="N150" s="54"/>
      <c r="O150" s="54">
        <f t="shared" si="85"/>
        <v>0</v>
      </c>
      <c r="P150" s="54">
        <f t="shared" si="85"/>
        <v>0</v>
      </c>
      <c r="Q150" s="54">
        <f t="shared" si="85"/>
        <v>0</v>
      </c>
      <c r="R150" s="54">
        <f t="shared" si="85"/>
        <v>0</v>
      </c>
      <c r="S150" s="54">
        <f t="shared" si="85"/>
        <v>0</v>
      </c>
      <c r="T150" s="54">
        <f t="shared" si="85"/>
        <v>0</v>
      </c>
      <c r="U150" s="54">
        <f t="shared" si="85"/>
        <v>0</v>
      </c>
      <c r="V150" s="54">
        <f t="shared" si="85"/>
        <v>0</v>
      </c>
      <c r="W150" s="54">
        <f t="shared" si="85"/>
        <v>0</v>
      </c>
      <c r="X150" s="54">
        <f t="shared" si="85"/>
        <v>0</v>
      </c>
      <c r="Y150" s="54">
        <f t="shared" si="85"/>
        <v>0</v>
      </c>
      <c r="Z150" s="54">
        <f t="shared" si="85"/>
        <v>0</v>
      </c>
      <c r="AA150" s="54">
        <f t="shared" si="85"/>
        <v>0</v>
      </c>
      <c r="AB150" s="54">
        <f t="shared" si="85"/>
        <v>0</v>
      </c>
      <c r="AC150" s="54">
        <f t="shared" si="85"/>
        <v>0</v>
      </c>
      <c r="AD150" s="54">
        <f t="shared" si="85"/>
        <v>0</v>
      </c>
      <c r="AE150" s="54">
        <f t="shared" si="85"/>
        <v>0</v>
      </c>
      <c r="AF150" s="54">
        <f t="shared" si="85"/>
        <v>0</v>
      </c>
      <c r="AG150" s="54">
        <f t="shared" si="85"/>
        <v>0</v>
      </c>
      <c r="AH150" s="54">
        <f t="shared" si="85"/>
        <v>0</v>
      </c>
      <c r="AI150" s="54">
        <f t="shared" si="85"/>
        <v>0</v>
      </c>
      <c r="AJ150" s="54">
        <f t="shared" si="85"/>
        <v>0</v>
      </c>
      <c r="AK150" s="54">
        <f>SUM(AK144:AK149)</f>
        <v>0</v>
      </c>
      <c r="AL150" s="54">
        <f t="shared" si="85"/>
        <v>0</v>
      </c>
      <c r="AM150" s="74"/>
      <c r="AN150" s="39">
        <f t="shared" ref="AN150:AT150" si="86">+SUM(AN144:AN149)</f>
        <v>0</v>
      </c>
      <c r="AO150" s="54">
        <f t="shared" si="86"/>
        <v>660</v>
      </c>
      <c r="AP150" s="39">
        <f t="shared" si="86"/>
        <v>660</v>
      </c>
      <c r="AQ150" s="39">
        <f t="shared" si="86"/>
        <v>660</v>
      </c>
      <c r="AR150" s="39">
        <f t="shared" si="86"/>
        <v>0</v>
      </c>
      <c r="AS150" s="39">
        <f>+SUM(AS144:AS149)</f>
        <v>165</v>
      </c>
      <c r="AT150" s="39">
        <f t="shared" si="86"/>
        <v>0</v>
      </c>
      <c r="AU150" s="39">
        <f>+SUM(AU144:AU149)</f>
        <v>660</v>
      </c>
      <c r="AV150" s="39">
        <f>+SUM(AV144:AV149)</f>
        <v>0</v>
      </c>
      <c r="AW150" s="39">
        <f>+SUM(AW144:AW149)</f>
        <v>660</v>
      </c>
      <c r="AX150" s="39">
        <f>+SUM(AX144:AX149)</f>
        <v>18439.55</v>
      </c>
      <c r="AY150" s="78"/>
      <c r="AZ150" s="57">
        <f>SUM(AZ144:AZ149)</f>
        <v>27484.55</v>
      </c>
    </row>
    <row r="151" spans="1:52">
      <c r="C151" s="54"/>
      <c r="D151" s="54"/>
      <c r="E151" s="54"/>
      <c r="F151" s="54"/>
      <c r="G151" s="54"/>
      <c r="H151" s="54"/>
      <c r="I151" s="78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74"/>
      <c r="AN151" s="39"/>
      <c r="AO151" s="54"/>
      <c r="AP151" s="39"/>
      <c r="AQ151" s="39"/>
      <c r="AR151" s="39"/>
      <c r="AS151" s="39"/>
      <c r="AT151" s="39"/>
      <c r="AU151" s="39"/>
      <c r="AV151" s="39"/>
      <c r="AW151" s="39"/>
      <c r="AX151" s="39"/>
      <c r="AY151" s="78"/>
      <c r="AZ151" s="57"/>
    </row>
    <row r="152" spans="1:52">
      <c r="A152" s="33" t="s">
        <v>264</v>
      </c>
      <c r="C152" s="54"/>
      <c r="D152" s="54"/>
      <c r="E152" s="54"/>
      <c r="F152" s="54"/>
      <c r="G152" s="54"/>
      <c r="H152" s="54"/>
      <c r="I152" s="78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74"/>
      <c r="AN152" s="39"/>
      <c r="AO152" s="54"/>
      <c r="AP152" s="39"/>
      <c r="AQ152" s="39"/>
      <c r="AR152" s="39"/>
      <c r="AS152" s="39"/>
      <c r="AT152" s="39"/>
      <c r="AU152" s="39"/>
      <c r="AV152" s="39"/>
      <c r="AW152" s="39"/>
      <c r="AX152" s="39"/>
      <c r="AY152" s="78"/>
      <c r="AZ152" s="57"/>
    </row>
    <row r="153" spans="1:52">
      <c r="A153" s="33" t="s">
        <v>265</v>
      </c>
      <c r="C153" s="54"/>
      <c r="D153" s="54"/>
      <c r="E153" s="54"/>
      <c r="F153" s="54"/>
      <c r="G153" s="54"/>
      <c r="H153" s="54"/>
      <c r="I153" s="78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74"/>
      <c r="AN153" s="39"/>
      <c r="AO153" s="54"/>
      <c r="AP153" s="39"/>
      <c r="AQ153" s="39"/>
      <c r="AR153" s="39"/>
      <c r="AS153" s="39"/>
      <c r="AT153" s="39"/>
      <c r="AU153" s="39"/>
      <c r="AV153" s="39"/>
      <c r="AW153" s="39"/>
      <c r="AX153" s="39"/>
      <c r="AY153" s="78"/>
      <c r="AZ153" s="57"/>
    </row>
    <row r="154" spans="1:52">
      <c r="A154" s="33" t="s">
        <v>71</v>
      </c>
      <c r="B154" s="33" t="s">
        <v>72</v>
      </c>
      <c r="C154" s="55"/>
      <c r="D154" s="55">
        <f>SUM(J154:M154)</f>
        <v>600</v>
      </c>
      <c r="E154" s="55">
        <f>SUM(O154:AG154)</f>
        <v>1650</v>
      </c>
      <c r="F154" s="55">
        <f>SUM(AH154:AL154)</f>
        <v>750</v>
      </c>
      <c r="G154" s="55">
        <v>500</v>
      </c>
      <c r="H154" s="55">
        <v>250</v>
      </c>
      <c r="I154" s="80"/>
      <c r="J154" s="55">
        <v>150</v>
      </c>
      <c r="K154" s="55">
        <v>150</v>
      </c>
      <c r="L154" s="55">
        <v>150</v>
      </c>
      <c r="M154" s="55">
        <v>150</v>
      </c>
      <c r="N154" s="55"/>
      <c r="O154" s="55">
        <v>150</v>
      </c>
      <c r="P154" s="55">
        <v>150</v>
      </c>
      <c r="Q154" s="55">
        <v>0</v>
      </c>
      <c r="R154" s="55">
        <v>150</v>
      </c>
      <c r="S154" s="55">
        <v>0</v>
      </c>
      <c r="T154" s="55">
        <v>0</v>
      </c>
      <c r="U154" s="55">
        <v>150</v>
      </c>
      <c r="V154" s="55">
        <v>150</v>
      </c>
      <c r="W154" s="55">
        <v>0</v>
      </c>
      <c r="X154" s="55">
        <v>150</v>
      </c>
      <c r="Y154" s="55">
        <v>150</v>
      </c>
      <c r="Z154" s="55"/>
      <c r="AA154" s="55">
        <v>150</v>
      </c>
      <c r="AB154" s="55">
        <v>0</v>
      </c>
      <c r="AC154" s="55">
        <v>150</v>
      </c>
      <c r="AD154" s="55">
        <v>150</v>
      </c>
      <c r="AE154" s="55">
        <v>150</v>
      </c>
      <c r="AF154" s="55">
        <v>0</v>
      </c>
      <c r="AG154" s="55">
        <v>0</v>
      </c>
      <c r="AH154" s="55">
        <v>150</v>
      </c>
      <c r="AI154" s="55">
        <v>150</v>
      </c>
      <c r="AJ154" s="55">
        <v>150</v>
      </c>
      <c r="AK154" s="55">
        <v>150</v>
      </c>
      <c r="AL154" s="55">
        <v>150</v>
      </c>
      <c r="AM154" s="74"/>
      <c r="AN154" s="40">
        <f ca="1">SUM('AC-SVC'!C154)</f>
        <v>500</v>
      </c>
      <c r="AO154" s="40">
        <f ca="1">SUM('AC-SVC'!D154)</f>
        <v>750</v>
      </c>
      <c r="AP154" s="40">
        <f ca="1">SUM('AC-SVC'!E154)</f>
        <v>750</v>
      </c>
      <c r="AQ154" s="40">
        <f ca="1">SUM('AC-SVC'!F154)</f>
        <v>750</v>
      </c>
      <c r="AR154" s="40">
        <f ca="1">SUM('AC-SVC'!G154)</f>
        <v>500</v>
      </c>
      <c r="AS154" s="40">
        <f ca="1">SUM('AC-SVC'!H154)*AS7</f>
        <v>375</v>
      </c>
      <c r="AT154" s="40">
        <f ca="1">SUM(PT!E154)</f>
        <v>0</v>
      </c>
      <c r="AU154" s="40">
        <f ca="1">SUM(FC!F154)</f>
        <v>400</v>
      </c>
      <c r="AV154" s="40">
        <f ca="1">SUM(FN!H154)*AV7</f>
        <v>0</v>
      </c>
      <c r="AW154" s="40">
        <f ca="1">SUM(FS!F154)</f>
        <v>100</v>
      </c>
      <c r="AX154" s="40">
        <f ca="1">SUM(IT!F154)</f>
        <v>500</v>
      </c>
      <c r="AY154" s="80"/>
      <c r="AZ154" s="66">
        <f>SUM(C154:H154)+SUM(AN154:AX154)</f>
        <v>8375</v>
      </c>
    </row>
    <row r="155" spans="1:52">
      <c r="B155" s="33" t="s">
        <v>266</v>
      </c>
      <c r="C155" s="54">
        <f t="shared" ref="C155:H155" si="87">SUM(C154)</f>
        <v>0</v>
      </c>
      <c r="D155" s="54">
        <f t="shared" si="87"/>
        <v>600</v>
      </c>
      <c r="E155" s="54">
        <f t="shared" si="87"/>
        <v>1650</v>
      </c>
      <c r="F155" s="54">
        <f t="shared" si="87"/>
        <v>750</v>
      </c>
      <c r="G155" s="54">
        <f t="shared" si="87"/>
        <v>500</v>
      </c>
      <c r="H155" s="54">
        <f t="shared" si="87"/>
        <v>250</v>
      </c>
      <c r="I155" s="78"/>
      <c r="J155" s="54">
        <f t="shared" ref="J155:AL155" si="88">SUM(J154)</f>
        <v>150</v>
      </c>
      <c r="K155" s="54">
        <f t="shared" si="88"/>
        <v>150</v>
      </c>
      <c r="L155" s="54">
        <f t="shared" si="88"/>
        <v>150</v>
      </c>
      <c r="M155" s="54">
        <f t="shared" si="88"/>
        <v>150</v>
      </c>
      <c r="N155" s="54"/>
      <c r="O155" s="54">
        <f t="shared" si="88"/>
        <v>150</v>
      </c>
      <c r="P155" s="54">
        <f t="shared" si="88"/>
        <v>150</v>
      </c>
      <c r="Q155" s="54">
        <f t="shared" si="88"/>
        <v>0</v>
      </c>
      <c r="R155" s="54">
        <f t="shared" si="88"/>
        <v>150</v>
      </c>
      <c r="S155" s="54">
        <f t="shared" si="88"/>
        <v>0</v>
      </c>
      <c r="T155" s="54">
        <f t="shared" si="88"/>
        <v>0</v>
      </c>
      <c r="U155" s="54">
        <f t="shared" si="88"/>
        <v>150</v>
      </c>
      <c r="V155" s="54">
        <f t="shared" si="88"/>
        <v>150</v>
      </c>
      <c r="W155" s="54">
        <f t="shared" si="88"/>
        <v>0</v>
      </c>
      <c r="X155" s="54">
        <f t="shared" si="88"/>
        <v>150</v>
      </c>
      <c r="Y155" s="54">
        <f t="shared" si="88"/>
        <v>150</v>
      </c>
      <c r="Z155" s="54">
        <f t="shared" si="88"/>
        <v>0</v>
      </c>
      <c r="AA155" s="54">
        <f t="shared" si="88"/>
        <v>150</v>
      </c>
      <c r="AB155" s="54">
        <f t="shared" si="88"/>
        <v>0</v>
      </c>
      <c r="AC155" s="54">
        <f t="shared" si="88"/>
        <v>150</v>
      </c>
      <c r="AD155" s="54">
        <f t="shared" si="88"/>
        <v>150</v>
      </c>
      <c r="AE155" s="54">
        <f t="shared" si="88"/>
        <v>150</v>
      </c>
      <c r="AF155" s="54">
        <f t="shared" si="88"/>
        <v>0</v>
      </c>
      <c r="AG155" s="54">
        <f t="shared" si="88"/>
        <v>0</v>
      </c>
      <c r="AH155" s="54">
        <f t="shared" si="88"/>
        <v>150</v>
      </c>
      <c r="AI155" s="54">
        <f t="shared" si="88"/>
        <v>150</v>
      </c>
      <c r="AJ155" s="54">
        <f t="shared" si="88"/>
        <v>150</v>
      </c>
      <c r="AK155" s="54">
        <f>SUM(AK154)</f>
        <v>150</v>
      </c>
      <c r="AL155" s="54">
        <f t="shared" si="88"/>
        <v>150</v>
      </c>
      <c r="AM155" s="74"/>
      <c r="AN155" s="39">
        <f t="shared" ref="AN155:AX155" si="89">SUM(AN154)</f>
        <v>500</v>
      </c>
      <c r="AO155" s="39">
        <f t="shared" si="89"/>
        <v>750</v>
      </c>
      <c r="AP155" s="39">
        <f t="shared" si="89"/>
        <v>750</v>
      </c>
      <c r="AQ155" s="39">
        <f t="shared" si="89"/>
        <v>750</v>
      </c>
      <c r="AR155" s="39">
        <f t="shared" si="89"/>
        <v>500</v>
      </c>
      <c r="AS155" s="39">
        <f t="shared" si="89"/>
        <v>375</v>
      </c>
      <c r="AT155" s="39">
        <f t="shared" si="89"/>
        <v>0</v>
      </c>
      <c r="AU155" s="39">
        <f t="shared" si="89"/>
        <v>400</v>
      </c>
      <c r="AV155" s="39">
        <f t="shared" si="89"/>
        <v>0</v>
      </c>
      <c r="AW155" s="39">
        <f t="shared" si="89"/>
        <v>100</v>
      </c>
      <c r="AX155" s="39">
        <f t="shared" si="89"/>
        <v>500</v>
      </c>
      <c r="AY155" s="78"/>
      <c r="AZ155" s="57">
        <f>SUM(AZ154)</f>
        <v>8375</v>
      </c>
    </row>
    <row r="156" spans="1:52">
      <c r="C156" s="54"/>
      <c r="D156" s="54"/>
      <c r="E156" s="54"/>
      <c r="F156" s="54"/>
      <c r="G156" s="54"/>
      <c r="H156" s="54"/>
      <c r="I156" s="78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74"/>
      <c r="AN156" s="39"/>
      <c r="AO156" s="54"/>
      <c r="AP156" s="39"/>
      <c r="AQ156" s="39"/>
      <c r="AR156" s="39"/>
      <c r="AS156" s="39"/>
      <c r="AT156" s="39"/>
      <c r="AU156" s="39"/>
      <c r="AV156" s="39"/>
      <c r="AW156" s="39"/>
      <c r="AX156" s="39"/>
      <c r="AY156" s="78"/>
      <c r="AZ156" s="57"/>
    </row>
    <row r="157" spans="1:52">
      <c r="A157" s="33" t="s">
        <v>267</v>
      </c>
      <c r="C157" s="54"/>
      <c r="D157" s="54"/>
      <c r="E157" s="54"/>
      <c r="F157" s="54"/>
      <c r="G157" s="54"/>
      <c r="H157" s="54"/>
      <c r="I157" s="78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74"/>
      <c r="AN157" s="39"/>
      <c r="AO157" s="54"/>
      <c r="AP157" s="39"/>
      <c r="AQ157" s="39"/>
      <c r="AR157" s="39"/>
      <c r="AS157" s="39"/>
      <c r="AT157" s="39"/>
      <c r="AU157" s="39"/>
      <c r="AV157" s="39"/>
      <c r="AW157" s="39"/>
      <c r="AX157" s="39"/>
      <c r="AY157" s="78"/>
      <c r="AZ157" s="57"/>
    </row>
    <row r="158" spans="1:52">
      <c r="A158" s="33" t="s">
        <v>73</v>
      </c>
      <c r="B158" s="33" t="s">
        <v>74</v>
      </c>
      <c r="C158" s="54">
        <f>500*10</f>
        <v>5000</v>
      </c>
      <c r="D158" s="54">
        <f t="shared" ref="D158:D170" si="90">SUM(J158:M158)</f>
        <v>12000</v>
      </c>
      <c r="E158" s="71">
        <f t="shared" ref="E158:E170" si="91">SUM(O158:AG158)</f>
        <v>47500</v>
      </c>
      <c r="F158" s="71">
        <f t="shared" ref="F158:F170" si="92">SUM(AH158:AL158)</f>
        <v>16500</v>
      </c>
      <c r="G158" s="54">
        <f>1000*G7</f>
        <v>2000</v>
      </c>
      <c r="H158" s="54">
        <v>1750</v>
      </c>
      <c r="I158" s="78"/>
      <c r="J158" s="54">
        <f t="shared" ref="J158:P158" si="93">125*24</f>
        <v>3000</v>
      </c>
      <c r="K158" s="54">
        <f t="shared" si="93"/>
        <v>3000</v>
      </c>
      <c r="L158" s="54">
        <f t="shared" si="93"/>
        <v>3000</v>
      </c>
      <c r="M158" s="54">
        <f t="shared" si="93"/>
        <v>3000</v>
      </c>
      <c r="N158" s="54"/>
      <c r="O158" s="54">
        <f t="shared" si="93"/>
        <v>3000</v>
      </c>
      <c r="P158" s="54">
        <f t="shared" si="93"/>
        <v>3000</v>
      </c>
      <c r="Q158" s="54">
        <v>0</v>
      </c>
      <c r="R158" s="54">
        <v>3000</v>
      </c>
      <c r="S158" s="54">
        <v>0</v>
      </c>
      <c r="T158" s="54">
        <v>0</v>
      </c>
      <c r="U158" s="54">
        <v>1500</v>
      </c>
      <c r="V158" s="54">
        <v>3000</v>
      </c>
      <c r="W158" s="54">
        <v>0</v>
      </c>
      <c r="X158" s="54">
        <v>1500</v>
      </c>
      <c r="Y158" s="54">
        <v>1500</v>
      </c>
      <c r="Z158" s="54">
        <v>0</v>
      </c>
      <c r="AA158" s="54">
        <v>1500</v>
      </c>
      <c r="AB158" s="54">
        <v>0</v>
      </c>
      <c r="AC158" s="54">
        <v>6500</v>
      </c>
      <c r="AD158" s="54">
        <f>6500+10000</f>
        <v>16500</v>
      </c>
      <c r="AE158" s="54">
        <v>6500</v>
      </c>
      <c r="AF158" s="54">
        <v>0</v>
      </c>
      <c r="AG158" s="54">
        <v>0</v>
      </c>
      <c r="AH158" s="54">
        <v>3000</v>
      </c>
      <c r="AI158" s="54">
        <v>3000</v>
      </c>
      <c r="AJ158" s="54">
        <v>4500</v>
      </c>
      <c r="AK158" s="54">
        <v>3000</v>
      </c>
      <c r="AL158" s="54">
        <v>3000</v>
      </c>
      <c r="AM158" s="74"/>
      <c r="AN158" s="61">
        <f ca="1">SUM('AC-SVC'!C158)*AN7</f>
        <v>2162.5</v>
      </c>
      <c r="AO158" s="61">
        <f ca="1">SUM('AC-SVC'!D158)</f>
        <v>3000</v>
      </c>
      <c r="AP158" s="61">
        <f ca="1">SUM('AC-SVC'!E158)</f>
        <v>1500</v>
      </c>
      <c r="AQ158" s="61">
        <f ca="1">SUM('AC-SVC'!F158)</f>
        <v>4400</v>
      </c>
      <c r="AR158" s="61">
        <f ca="1">SUM('AC-SVC'!G158)</f>
        <v>700</v>
      </c>
      <c r="AS158" s="61">
        <f ca="1">SUM('AC-SVC'!H158)*AS7</f>
        <v>625</v>
      </c>
      <c r="AT158" s="61">
        <f ca="1">SUM(PT!E158)</f>
        <v>1000</v>
      </c>
      <c r="AU158" s="61">
        <f ca="1">SUM(FC!F158)</f>
        <v>20000</v>
      </c>
      <c r="AV158" s="61">
        <f ca="1">SUM(FN!H158)*AV7</f>
        <v>0</v>
      </c>
      <c r="AW158" s="61">
        <f ca="1">SUM(FS!F158)</f>
        <v>13899.2</v>
      </c>
      <c r="AX158" s="61">
        <f ca="1">SUM(IT!F158)</f>
        <v>0</v>
      </c>
      <c r="AY158" s="87"/>
      <c r="AZ158" s="67">
        <f t="shared" ref="AZ158:AZ170" si="94">SUM(C158:H158)+SUM(AN158:AX158)</f>
        <v>132036.70000000001</v>
      </c>
    </row>
    <row r="159" spans="1:52">
      <c r="A159" s="33" t="s">
        <v>75</v>
      </c>
      <c r="B159" s="33" t="s">
        <v>154</v>
      </c>
      <c r="C159" s="54">
        <v>7500</v>
      </c>
      <c r="D159" s="54">
        <f t="shared" si="90"/>
        <v>0</v>
      </c>
      <c r="E159" s="71">
        <f t="shared" si="91"/>
        <v>0</v>
      </c>
      <c r="F159" s="71">
        <f t="shared" si="92"/>
        <v>0</v>
      </c>
      <c r="G159" s="54"/>
      <c r="H159" s="54"/>
      <c r="I159" s="78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74"/>
      <c r="AN159" s="61">
        <f ca="1">SUM('AC-SVC'!C159)</f>
        <v>0</v>
      </c>
      <c r="AO159" s="61">
        <f ca="1">SUM('AC-SVC'!D159)</f>
        <v>0</v>
      </c>
      <c r="AP159" s="61">
        <f ca="1">SUM('AC-SVC'!E159)</f>
        <v>0</v>
      </c>
      <c r="AQ159" s="61">
        <f ca="1">SUM('AC-SVC'!F159)</f>
        <v>0</v>
      </c>
      <c r="AR159" s="61">
        <f ca="1">SUM('AC-SVC'!G159)</f>
        <v>725</v>
      </c>
      <c r="AS159" s="61">
        <f ca="1">SUM('AC-SVC'!H159)</f>
        <v>0</v>
      </c>
      <c r="AT159" s="61">
        <f ca="1">SUM(PT!E159)</f>
        <v>0</v>
      </c>
      <c r="AU159" s="61">
        <f ca="1">SUM(FC!F159)</f>
        <v>0</v>
      </c>
      <c r="AV159" s="61">
        <f ca="1">SUM(FN!H159)</f>
        <v>0</v>
      </c>
      <c r="AW159" s="61">
        <f ca="1">SUM(FS!F159)</f>
        <v>0</v>
      </c>
      <c r="AX159" s="61">
        <f ca="1">SUM(IT!F159)</f>
        <v>3000</v>
      </c>
      <c r="AY159" s="87"/>
      <c r="AZ159" s="67">
        <f t="shared" si="94"/>
        <v>11225</v>
      </c>
    </row>
    <row r="160" spans="1:52">
      <c r="A160" s="33" t="s">
        <v>456</v>
      </c>
      <c r="B160" s="33" t="s">
        <v>97</v>
      </c>
      <c r="C160" s="54">
        <v>34100</v>
      </c>
      <c r="D160" s="54">
        <f t="shared" si="90"/>
        <v>0</v>
      </c>
      <c r="E160" s="71">
        <f t="shared" si="91"/>
        <v>0</v>
      </c>
      <c r="F160" s="71">
        <f t="shared" si="92"/>
        <v>0</v>
      </c>
      <c r="G160" s="54"/>
      <c r="H160" s="54"/>
      <c r="I160" s="78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74"/>
      <c r="AN160" s="61">
        <f ca="1">SUM('AC-SVC'!C160)</f>
        <v>0</v>
      </c>
      <c r="AO160" s="61">
        <f ca="1">SUM('AC-SVC'!D160)</f>
        <v>0</v>
      </c>
      <c r="AP160" s="61">
        <f ca="1">SUM('AC-SVC'!E160)</f>
        <v>0</v>
      </c>
      <c r="AQ160" s="61">
        <f ca="1">SUM('AC-SVC'!F160)</f>
        <v>0</v>
      </c>
      <c r="AR160" s="61">
        <f ca="1">SUM('AC-SVC'!G160)</f>
        <v>0</v>
      </c>
      <c r="AS160" s="61">
        <f ca="1">SUM('AC-SVC'!H160)</f>
        <v>0</v>
      </c>
      <c r="AT160" s="61">
        <f ca="1">SUM(PT!E160)</f>
        <v>0</v>
      </c>
      <c r="AU160" s="61">
        <f ca="1">SUM(FC!F160)</f>
        <v>5000</v>
      </c>
      <c r="AV160" s="61">
        <f ca="1">SUM(FN!H160)</f>
        <v>0</v>
      </c>
      <c r="AW160" s="61">
        <f ca="1">SUM(FS!F160)</f>
        <v>0</v>
      </c>
      <c r="AX160" s="61">
        <f ca="1">SUM(IT!F160)</f>
        <v>0</v>
      </c>
      <c r="AY160" s="87"/>
      <c r="AZ160" s="67">
        <f t="shared" si="94"/>
        <v>39100</v>
      </c>
    </row>
    <row r="161" spans="1:52">
      <c r="A161" s="33" t="s">
        <v>457</v>
      </c>
      <c r="B161" s="33" t="s">
        <v>458</v>
      </c>
      <c r="C161" s="54">
        <f>60*10</f>
        <v>600</v>
      </c>
      <c r="D161" s="54">
        <f t="shared" si="90"/>
        <v>0</v>
      </c>
      <c r="E161" s="71">
        <f t="shared" si="91"/>
        <v>0</v>
      </c>
      <c r="F161" s="71">
        <f t="shared" si="92"/>
        <v>0</v>
      </c>
      <c r="G161" s="54">
        <f>3*20</f>
        <v>60</v>
      </c>
      <c r="H161" s="54">
        <v>20</v>
      </c>
      <c r="I161" s="78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74"/>
      <c r="AN161" s="61">
        <f ca="1">SUM('AC-SVC'!C161)</f>
        <v>0</v>
      </c>
      <c r="AO161" s="61">
        <f ca="1">SUM('AC-SVC'!D161)</f>
        <v>0</v>
      </c>
      <c r="AP161" s="61">
        <f ca="1">SUM('AC-SVC'!E161)</f>
        <v>0</v>
      </c>
      <c r="AQ161" s="61">
        <f ca="1">SUM('AC-SVC'!F161)</f>
        <v>0</v>
      </c>
      <c r="AR161" s="61">
        <f ca="1">SUM('AC-SVC'!G161)</f>
        <v>0</v>
      </c>
      <c r="AS161" s="61">
        <f ca="1">SUM('AC-SVC'!H161)</f>
        <v>0</v>
      </c>
      <c r="AT161" s="61">
        <f ca="1">SUM(PT!E161)</f>
        <v>0</v>
      </c>
      <c r="AU161" s="61">
        <f ca="1">SUM(FC!F161)</f>
        <v>0</v>
      </c>
      <c r="AV161" s="61">
        <f ca="1">SUM(FN!H161)</f>
        <v>0</v>
      </c>
      <c r="AW161" s="61">
        <f ca="1">SUM(FS!F161)</f>
        <v>0</v>
      </c>
      <c r="AX161" s="61">
        <f ca="1">SUM(IT!F161)</f>
        <v>600</v>
      </c>
      <c r="AY161" s="87"/>
      <c r="AZ161" s="67">
        <f t="shared" si="94"/>
        <v>1280</v>
      </c>
    </row>
    <row r="162" spans="1:52">
      <c r="A162" s="33" t="s">
        <v>459</v>
      </c>
      <c r="B162" s="33" t="s">
        <v>460</v>
      </c>
      <c r="C162" s="54"/>
      <c r="D162" s="54">
        <f t="shared" si="90"/>
        <v>0</v>
      </c>
      <c r="E162" s="71">
        <f t="shared" si="91"/>
        <v>0</v>
      </c>
      <c r="F162" s="71">
        <f t="shared" si="92"/>
        <v>0</v>
      </c>
      <c r="G162" s="54"/>
      <c r="H162" s="54"/>
      <c r="I162" s="78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74"/>
      <c r="AN162" s="61">
        <f ca="1">SUM('AC-SVC'!C162)</f>
        <v>0</v>
      </c>
      <c r="AO162" s="61">
        <f ca="1">SUM('AC-SVC'!D162)</f>
        <v>0</v>
      </c>
      <c r="AP162" s="61">
        <f ca="1">SUM('AC-SVC'!E162)</f>
        <v>0</v>
      </c>
      <c r="AQ162" s="61">
        <f ca="1">SUM('AC-SVC'!F162)</f>
        <v>0</v>
      </c>
      <c r="AR162" s="61">
        <f ca="1">SUM('AC-SVC'!G162)</f>
        <v>0</v>
      </c>
      <c r="AS162" s="61">
        <f ca="1">SUM('AC-SVC'!H162)</f>
        <v>0</v>
      </c>
      <c r="AT162" s="61">
        <f ca="1">SUM(PT!E162)</f>
        <v>0</v>
      </c>
      <c r="AU162" s="61">
        <f ca="1">SUM(FC!F162)</f>
        <v>0</v>
      </c>
      <c r="AV162" s="61">
        <f ca="1">SUM(FN!H162)*AV7</f>
        <v>0</v>
      </c>
      <c r="AW162" s="61">
        <f ca="1">SUM(FS!F162)</f>
        <v>0</v>
      </c>
      <c r="AX162" s="136">
        <f ca="1">SUM(IT!F162)</f>
        <v>103410.09000000001</v>
      </c>
      <c r="AY162" s="87"/>
      <c r="AZ162" s="67">
        <f t="shared" si="94"/>
        <v>103410.09000000001</v>
      </c>
    </row>
    <row r="163" spans="1:52">
      <c r="A163" s="33" t="s">
        <v>452</v>
      </c>
      <c r="B163" s="33" t="s">
        <v>453</v>
      </c>
      <c r="C163" s="54"/>
      <c r="D163" s="54">
        <f>SUM(J163:M163)</f>
        <v>0</v>
      </c>
      <c r="E163" s="71">
        <f t="shared" si="91"/>
        <v>0</v>
      </c>
      <c r="F163" s="71">
        <f t="shared" si="92"/>
        <v>0</v>
      </c>
      <c r="G163" s="54"/>
      <c r="H163" s="54"/>
      <c r="I163" s="78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74"/>
      <c r="AN163" s="61">
        <f ca="1">SUM('AC-SVC'!C163)</f>
        <v>0</v>
      </c>
      <c r="AO163" s="61">
        <f ca="1">SUM('AC-SVC'!D163)</f>
        <v>0</v>
      </c>
      <c r="AP163" s="61">
        <f ca="1">SUM('AC-SVC'!E163)</f>
        <v>0</v>
      </c>
      <c r="AQ163" s="61">
        <f ca="1">SUM('AC-SVC'!F163)</f>
        <v>0</v>
      </c>
      <c r="AR163" s="61">
        <f ca="1">SUM('AC-SVC'!G163)</f>
        <v>0</v>
      </c>
      <c r="AS163" s="61">
        <f ca="1">SUM('AC-SVC'!H163)</f>
        <v>0</v>
      </c>
      <c r="AT163" s="61">
        <f ca="1">SUM(PT!E163)</f>
        <v>0</v>
      </c>
      <c r="AU163" s="61">
        <f ca="1">SUM(FC!F163)</f>
        <v>0</v>
      </c>
      <c r="AV163" s="61">
        <f ca="1">SUM(FN!H163)</f>
        <v>0</v>
      </c>
      <c r="AW163" s="61">
        <f ca="1">SUM(FS!F163)</f>
        <v>0</v>
      </c>
      <c r="AX163" s="61">
        <f ca="1">SUM(IT!F163)</f>
        <v>0</v>
      </c>
      <c r="AY163" s="87"/>
      <c r="AZ163" s="67">
        <f t="shared" si="94"/>
        <v>0</v>
      </c>
    </row>
    <row r="164" spans="1:52">
      <c r="A164" s="33" t="s">
        <v>76</v>
      </c>
      <c r="B164" s="33" t="s">
        <v>155</v>
      </c>
      <c r="C164" s="54"/>
      <c r="D164" s="54">
        <f t="shared" si="90"/>
        <v>0</v>
      </c>
      <c r="E164" s="71">
        <f t="shared" si="91"/>
        <v>0</v>
      </c>
      <c r="F164" s="71">
        <f t="shared" si="92"/>
        <v>0</v>
      </c>
      <c r="G164" s="54"/>
      <c r="H164" s="54"/>
      <c r="I164" s="78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74"/>
      <c r="AN164" s="61">
        <f ca="1">SUM('AC-SVC'!C164)</f>
        <v>0</v>
      </c>
      <c r="AO164" s="61">
        <f ca="1">SUM('AC-SVC'!D164)</f>
        <v>0</v>
      </c>
      <c r="AP164" s="61">
        <f ca="1">SUM('AC-SVC'!E164)</f>
        <v>0</v>
      </c>
      <c r="AQ164" s="61">
        <f ca="1">SUM('AC-SVC'!F164)</f>
        <v>0</v>
      </c>
      <c r="AR164" s="61">
        <f ca="1">SUM('AC-SVC'!G164)</f>
        <v>0</v>
      </c>
      <c r="AS164" s="61">
        <f ca="1">SUM('AC-SVC'!H164)</f>
        <v>0</v>
      </c>
      <c r="AT164" s="61">
        <f ca="1">SUM(PT!E164)</f>
        <v>2500</v>
      </c>
      <c r="AU164" s="61">
        <f ca="1">SUM(FC!F164)</f>
        <v>0</v>
      </c>
      <c r="AV164" s="61">
        <f ca="1">SUM(FN!H164)</f>
        <v>0</v>
      </c>
      <c r="AW164" s="61">
        <f ca="1">SUM(FS!F164)</f>
        <v>72676.800000000003</v>
      </c>
      <c r="AX164" s="61">
        <f ca="1">SUM(IT!F164)</f>
        <v>0</v>
      </c>
      <c r="AY164" s="87"/>
      <c r="AZ164" s="67">
        <f t="shared" si="94"/>
        <v>75176.800000000003</v>
      </c>
    </row>
    <row r="165" spans="1:52">
      <c r="A165" s="33" t="s">
        <v>79</v>
      </c>
      <c r="B165" s="33" t="s">
        <v>156</v>
      </c>
      <c r="C165" s="54"/>
      <c r="D165" s="54">
        <f t="shared" si="90"/>
        <v>0</v>
      </c>
      <c r="E165" s="71">
        <f t="shared" si="91"/>
        <v>0</v>
      </c>
      <c r="F165" s="71">
        <f t="shared" si="92"/>
        <v>0</v>
      </c>
      <c r="G165" s="54"/>
      <c r="H165" s="54"/>
      <c r="I165" s="78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74"/>
      <c r="AN165" s="61">
        <f ca="1">SUM('AC-SVC'!C165)</f>
        <v>0</v>
      </c>
      <c r="AO165" s="61">
        <f ca="1">SUM('AC-SVC'!D165)</f>
        <v>0</v>
      </c>
      <c r="AP165" s="61">
        <f ca="1">SUM('AC-SVC'!E165)</f>
        <v>0</v>
      </c>
      <c r="AQ165" s="61">
        <f ca="1">SUM('AC-SVC'!F165)</f>
        <v>0</v>
      </c>
      <c r="AR165" s="61">
        <f ca="1">SUM('AC-SVC'!G165)</f>
        <v>0</v>
      </c>
      <c r="AS165" s="61">
        <f ca="1">SUM('AC-SVC'!H165)</f>
        <v>0</v>
      </c>
      <c r="AT165" s="61">
        <f ca="1">SUM(PT!E165)</f>
        <v>0</v>
      </c>
      <c r="AU165" s="61">
        <f ca="1">SUM(FC!F165)</f>
        <v>0</v>
      </c>
      <c r="AV165" s="61">
        <f ca="1">SUM(FN!H165)</f>
        <v>0</v>
      </c>
      <c r="AW165" s="61">
        <f ca="1">SUM(FS!F165)</f>
        <v>350</v>
      </c>
      <c r="AX165" s="61">
        <f ca="1">SUM(IT!F165)</f>
        <v>0</v>
      </c>
      <c r="AY165" s="87"/>
      <c r="AZ165" s="67">
        <f t="shared" si="94"/>
        <v>350</v>
      </c>
    </row>
    <row r="166" spans="1:52">
      <c r="A166" s="33" t="s">
        <v>78</v>
      </c>
      <c r="B166" s="33" t="s">
        <v>157</v>
      </c>
      <c r="C166" s="54"/>
      <c r="D166" s="54">
        <f t="shared" si="90"/>
        <v>0</v>
      </c>
      <c r="E166" s="71">
        <f t="shared" si="91"/>
        <v>0</v>
      </c>
      <c r="F166" s="71">
        <f t="shared" si="92"/>
        <v>0</v>
      </c>
      <c r="G166" s="54"/>
      <c r="H166" s="54"/>
      <c r="I166" s="78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74"/>
      <c r="AN166" s="61">
        <f ca="1">SUM('AC-SVC'!C166)</f>
        <v>0</v>
      </c>
      <c r="AO166" s="61">
        <f ca="1">SUM('AC-SVC'!D166)</f>
        <v>0</v>
      </c>
      <c r="AP166" s="61">
        <f ca="1">SUM('AC-SVC'!E166)</f>
        <v>0</v>
      </c>
      <c r="AQ166" s="61">
        <f ca="1">SUM('AC-SVC'!F166)</f>
        <v>0</v>
      </c>
      <c r="AR166" s="61">
        <f ca="1">SUM('AC-SVC'!G166)</f>
        <v>0</v>
      </c>
      <c r="AS166" s="61">
        <f ca="1">SUM('AC-SVC'!H166)</f>
        <v>0</v>
      </c>
      <c r="AT166" s="61">
        <f ca="1">SUM(PT!E166)</f>
        <v>0</v>
      </c>
      <c r="AU166" s="61">
        <f ca="1">SUM(FC!F166)</f>
        <v>0</v>
      </c>
      <c r="AV166" s="61">
        <f ca="1">SUM(FN!H166)</f>
        <v>0</v>
      </c>
      <c r="AW166" s="61">
        <f ca="1">SUM(FS!F166)</f>
        <v>200</v>
      </c>
      <c r="AX166" s="61">
        <f ca="1">SUM(IT!F166)</f>
        <v>0</v>
      </c>
      <c r="AY166" s="87"/>
      <c r="AZ166" s="67">
        <f t="shared" si="94"/>
        <v>200</v>
      </c>
    </row>
    <row r="167" spans="1:52">
      <c r="A167" s="33" t="s">
        <v>77</v>
      </c>
      <c r="B167" s="33" t="s">
        <v>158</v>
      </c>
      <c r="C167" s="54">
        <f ca="1">150*SUM!B7</f>
        <v>46350</v>
      </c>
      <c r="D167" s="54">
        <f t="shared" si="90"/>
        <v>0</v>
      </c>
      <c r="E167" s="71">
        <f t="shared" si="91"/>
        <v>0</v>
      </c>
      <c r="F167" s="71">
        <f t="shared" si="92"/>
        <v>0</v>
      </c>
      <c r="G167" s="54"/>
      <c r="H167" s="54"/>
      <c r="I167" s="78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74"/>
      <c r="AN167" s="61">
        <f ca="1">SUM('AC-SVC'!C167)</f>
        <v>0</v>
      </c>
      <c r="AO167" s="61">
        <f ca="1">SUM('AC-SVC'!D167)</f>
        <v>0</v>
      </c>
      <c r="AP167" s="61">
        <f ca="1">SUM('AC-SVC'!E167)</f>
        <v>0</v>
      </c>
      <c r="AQ167" s="61">
        <f ca="1">SUM('AC-SVC'!F167)</f>
        <v>0</v>
      </c>
      <c r="AR167" s="61">
        <f ca="1">SUM('AC-SVC'!G167)</f>
        <v>0</v>
      </c>
      <c r="AS167" s="61">
        <f ca="1">SUM('AC-SVC'!H167)*AS7</f>
        <v>1125</v>
      </c>
      <c r="AT167" s="61">
        <f ca="1">SUM(PT!E167)</f>
        <v>0</v>
      </c>
      <c r="AU167" s="61">
        <f ca="1">SUM(FC!F167)</f>
        <v>0</v>
      </c>
      <c r="AV167" s="61">
        <f ca="1">SUM(FN!H167)</f>
        <v>0</v>
      </c>
      <c r="AW167" s="61">
        <f ca="1">SUM(FS!F167)</f>
        <v>0</v>
      </c>
      <c r="AX167" s="61">
        <f ca="1">SUM(IT!F167)</f>
        <v>0</v>
      </c>
      <c r="AY167" s="87"/>
      <c r="AZ167" s="67">
        <f t="shared" si="94"/>
        <v>47475</v>
      </c>
    </row>
    <row r="168" spans="1:52">
      <c r="A168" s="33" t="s">
        <v>80</v>
      </c>
      <c r="B168" s="33" t="s">
        <v>159</v>
      </c>
      <c r="C168" s="54">
        <f ca="1">SUM(SUM!B7*50)</f>
        <v>15450</v>
      </c>
      <c r="D168" s="54">
        <f t="shared" si="90"/>
        <v>0</v>
      </c>
      <c r="E168" s="71">
        <f t="shared" si="91"/>
        <v>0</v>
      </c>
      <c r="F168" s="71">
        <f t="shared" si="92"/>
        <v>0</v>
      </c>
      <c r="G168" s="54"/>
      <c r="H168" s="54"/>
      <c r="I168" s="78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74"/>
      <c r="AN168" s="61">
        <f ca="1">SUM('AC-SVC'!C168)*AN7</f>
        <v>1750</v>
      </c>
      <c r="AO168" s="61">
        <f ca="1">SUM('AC-SVC'!D168)</f>
        <v>0</v>
      </c>
      <c r="AP168" s="61">
        <f ca="1">SUM('AC-SVC'!E168)</f>
        <v>0</v>
      </c>
      <c r="AQ168" s="61">
        <f ca="1">SUM('AC-SVC'!F168)</f>
        <v>0</v>
      </c>
      <c r="AR168" s="61">
        <f ca="1">SUM('AC-SVC'!G168)</f>
        <v>0</v>
      </c>
      <c r="AS168" s="61">
        <f ca="1">SUM('AC-SVC'!H168)*AS7</f>
        <v>750</v>
      </c>
      <c r="AT168" s="61">
        <f ca="1">SUM(PT!E168)</f>
        <v>0</v>
      </c>
      <c r="AU168" s="61">
        <f ca="1">SUM(FC!F168)</f>
        <v>0</v>
      </c>
      <c r="AV168" s="61">
        <f ca="1">SUM(FN!H168)</f>
        <v>0</v>
      </c>
      <c r="AW168" s="61">
        <f ca="1">SUM(FS!F168)</f>
        <v>0</v>
      </c>
      <c r="AX168" s="61">
        <f ca="1">SUM(IT!F168)</f>
        <v>0</v>
      </c>
      <c r="AY168" s="87"/>
      <c r="AZ168" s="67">
        <f t="shared" si="94"/>
        <v>17950</v>
      </c>
    </row>
    <row r="169" spans="1:52">
      <c r="A169" s="33" t="s">
        <v>81</v>
      </c>
      <c r="B169" s="33" t="s">
        <v>160</v>
      </c>
      <c r="C169" s="54"/>
      <c r="D169" s="54">
        <f t="shared" si="90"/>
        <v>0</v>
      </c>
      <c r="E169" s="71">
        <f t="shared" si="91"/>
        <v>0</v>
      </c>
      <c r="F169" s="71">
        <f t="shared" si="92"/>
        <v>0</v>
      </c>
      <c r="G169" s="54"/>
      <c r="H169" s="54"/>
      <c r="I169" s="78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74"/>
      <c r="AN169" s="61">
        <f ca="1">SUM('AC-SVC'!C169)</f>
        <v>0</v>
      </c>
      <c r="AO169" s="61">
        <f ca="1">SUM('AC-SVC'!D169)</f>
        <v>0</v>
      </c>
      <c r="AP169" s="61">
        <f ca="1">SUM('AC-SVC'!E169)</f>
        <v>0</v>
      </c>
      <c r="AQ169" s="61">
        <f ca="1">SUM('AC-SVC'!F169)</f>
        <v>0</v>
      </c>
      <c r="AR169" s="61">
        <f ca="1">SUM('AC-SVC'!G169)</f>
        <v>728</v>
      </c>
      <c r="AS169" s="61">
        <f ca="1">SUM('AC-SVC'!H169)</f>
        <v>0</v>
      </c>
      <c r="AT169" s="61">
        <f ca="1">SUM(PT!E169)</f>
        <v>0</v>
      </c>
      <c r="AU169" s="61">
        <f ca="1">SUM(FC!F169)</f>
        <v>0</v>
      </c>
      <c r="AV169" s="61">
        <f ca="1">SUM(FN!H169)*AV7</f>
        <v>0</v>
      </c>
      <c r="AW169" s="61">
        <f ca="1">SUM(FS!F169)</f>
        <v>0</v>
      </c>
      <c r="AX169" s="61">
        <f ca="1">SUM(IT!F169)</f>
        <v>0</v>
      </c>
      <c r="AY169" s="87"/>
      <c r="AZ169" s="67">
        <f t="shared" si="94"/>
        <v>728</v>
      </c>
    </row>
    <row r="170" spans="1:52">
      <c r="A170" s="33" t="s">
        <v>161</v>
      </c>
      <c r="B170" s="33" t="s">
        <v>162</v>
      </c>
      <c r="C170" s="55"/>
      <c r="D170" s="55">
        <f t="shared" si="90"/>
        <v>0</v>
      </c>
      <c r="E170" s="55">
        <f t="shared" si="91"/>
        <v>0</v>
      </c>
      <c r="F170" s="55">
        <f t="shared" si="92"/>
        <v>0</v>
      </c>
      <c r="G170" s="55"/>
      <c r="H170" s="55"/>
      <c r="I170" s="80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74"/>
      <c r="AN170" s="40">
        <f ca="1">SUM('AC-SVC'!C170)</f>
        <v>0</v>
      </c>
      <c r="AO170" s="40">
        <f ca="1">SUM('AC-SVC'!D170)</f>
        <v>0</v>
      </c>
      <c r="AP170" s="40">
        <f ca="1">SUM('AC-SVC'!E170)</f>
        <v>0</v>
      </c>
      <c r="AQ170" s="40">
        <f ca="1">SUM('AC-SVC'!F170)</f>
        <v>0</v>
      </c>
      <c r="AR170" s="40">
        <f ca="1">SUM('AC-SVC'!G170)*0.5</f>
        <v>30500</v>
      </c>
      <c r="AS170" s="40">
        <f ca="1">SUM('AC-SVC'!H170)*0.5</f>
        <v>0</v>
      </c>
      <c r="AT170" s="40">
        <f ca="1">SUM(PT!E170)</f>
        <v>0</v>
      </c>
      <c r="AU170" s="40">
        <f ca="1">SUM(FC!F170)</f>
        <v>0</v>
      </c>
      <c r="AV170" s="40">
        <f ca="1">SUM(FN!H170)</f>
        <v>0</v>
      </c>
      <c r="AW170" s="40">
        <f ca="1">SUM(FS!F170)</f>
        <v>0</v>
      </c>
      <c r="AX170" s="40">
        <f ca="1">SUM(IT!F170)</f>
        <v>0</v>
      </c>
      <c r="AY170" s="80"/>
      <c r="AZ170" s="66">
        <f t="shared" si="94"/>
        <v>30500</v>
      </c>
    </row>
    <row r="171" spans="1:52">
      <c r="B171" s="33" t="s">
        <v>163</v>
      </c>
      <c r="C171" s="54">
        <f t="shared" ref="C171:H171" si="95">SUM(C158:C170)</f>
        <v>109000</v>
      </c>
      <c r="D171" s="54">
        <f t="shared" si="95"/>
        <v>12000</v>
      </c>
      <c r="E171" s="54">
        <f t="shared" si="95"/>
        <v>47500</v>
      </c>
      <c r="F171" s="54">
        <f t="shared" si="95"/>
        <v>16500</v>
      </c>
      <c r="G171" s="54">
        <f t="shared" si="95"/>
        <v>2060</v>
      </c>
      <c r="H171" s="54">
        <f t="shared" si="95"/>
        <v>1770</v>
      </c>
      <c r="I171" s="78"/>
      <c r="J171" s="54">
        <f t="shared" ref="J171:AL171" si="96">SUM(J158:J170)</f>
        <v>3000</v>
      </c>
      <c r="K171" s="54">
        <f t="shared" si="96"/>
        <v>3000</v>
      </c>
      <c r="L171" s="54">
        <f t="shared" si="96"/>
        <v>3000</v>
      </c>
      <c r="M171" s="54">
        <f t="shared" si="96"/>
        <v>3000</v>
      </c>
      <c r="N171" s="54"/>
      <c r="O171" s="54">
        <f t="shared" si="96"/>
        <v>3000</v>
      </c>
      <c r="P171" s="54">
        <f t="shared" si="96"/>
        <v>3000</v>
      </c>
      <c r="Q171" s="54">
        <f t="shared" si="96"/>
        <v>0</v>
      </c>
      <c r="R171" s="54">
        <f t="shared" si="96"/>
        <v>3000</v>
      </c>
      <c r="S171" s="54">
        <f t="shared" si="96"/>
        <v>0</v>
      </c>
      <c r="T171" s="54">
        <f t="shared" si="96"/>
        <v>0</v>
      </c>
      <c r="U171" s="54">
        <f t="shared" si="96"/>
        <v>1500</v>
      </c>
      <c r="V171" s="54">
        <f t="shared" si="96"/>
        <v>3000</v>
      </c>
      <c r="W171" s="54">
        <f t="shared" si="96"/>
        <v>0</v>
      </c>
      <c r="X171" s="54">
        <f t="shared" si="96"/>
        <v>1500</v>
      </c>
      <c r="Y171" s="54">
        <f t="shared" si="96"/>
        <v>1500</v>
      </c>
      <c r="Z171" s="54">
        <f t="shared" si="96"/>
        <v>0</v>
      </c>
      <c r="AA171" s="54">
        <f t="shared" si="96"/>
        <v>1500</v>
      </c>
      <c r="AB171" s="54">
        <f t="shared" si="96"/>
        <v>0</v>
      </c>
      <c r="AC171" s="54">
        <f t="shared" si="96"/>
        <v>6500</v>
      </c>
      <c r="AD171" s="54">
        <f t="shared" si="96"/>
        <v>16500</v>
      </c>
      <c r="AE171" s="54">
        <f t="shared" si="96"/>
        <v>6500</v>
      </c>
      <c r="AF171" s="54">
        <f t="shared" si="96"/>
        <v>0</v>
      </c>
      <c r="AG171" s="54">
        <f t="shared" si="96"/>
        <v>0</v>
      </c>
      <c r="AH171" s="54">
        <f t="shared" si="96"/>
        <v>3000</v>
      </c>
      <c r="AI171" s="54">
        <f t="shared" si="96"/>
        <v>3000</v>
      </c>
      <c r="AJ171" s="54">
        <f t="shared" si="96"/>
        <v>4500</v>
      </c>
      <c r="AK171" s="54">
        <f>SUM(AK158:AK170)</f>
        <v>3000</v>
      </c>
      <c r="AL171" s="54">
        <f t="shared" si="96"/>
        <v>3000</v>
      </c>
      <c r="AM171" s="74"/>
      <c r="AN171" s="39">
        <f t="shared" ref="AN171:AX171" si="97">SUM(AN158:AN170)</f>
        <v>3912.5</v>
      </c>
      <c r="AO171" s="39">
        <f t="shared" si="97"/>
        <v>3000</v>
      </c>
      <c r="AP171" s="39">
        <f t="shared" si="97"/>
        <v>1500</v>
      </c>
      <c r="AQ171" s="39">
        <f t="shared" si="97"/>
        <v>4400</v>
      </c>
      <c r="AR171" s="39">
        <f t="shared" si="97"/>
        <v>32653</v>
      </c>
      <c r="AS171" s="39">
        <f t="shared" si="97"/>
        <v>2500</v>
      </c>
      <c r="AT171" s="39">
        <f t="shared" si="97"/>
        <v>3500</v>
      </c>
      <c r="AU171" s="39">
        <f t="shared" si="97"/>
        <v>25000</v>
      </c>
      <c r="AV171" s="39">
        <f t="shared" si="97"/>
        <v>0</v>
      </c>
      <c r="AW171" s="39">
        <f t="shared" si="97"/>
        <v>87126</v>
      </c>
      <c r="AX171" s="39">
        <f t="shared" si="97"/>
        <v>107010.09000000001</v>
      </c>
      <c r="AY171" s="78"/>
      <c r="AZ171" s="57">
        <f>SUM(AZ158:AZ170)</f>
        <v>459431.59</v>
      </c>
    </row>
    <row r="172" spans="1:52">
      <c r="C172" s="54"/>
      <c r="D172" s="54"/>
      <c r="E172" s="54"/>
      <c r="F172" s="54"/>
      <c r="G172" s="54"/>
      <c r="H172" s="54"/>
      <c r="I172" s="78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74"/>
      <c r="AN172" s="39"/>
      <c r="AO172" s="54"/>
      <c r="AP172" s="39"/>
      <c r="AQ172" s="39"/>
      <c r="AR172" s="39"/>
      <c r="AS172" s="39"/>
      <c r="AT172" s="39"/>
      <c r="AU172" s="39"/>
      <c r="AV172" s="39"/>
      <c r="AW172" s="39"/>
      <c r="AX172" s="39"/>
      <c r="AY172" s="78"/>
      <c r="AZ172" s="57"/>
    </row>
    <row r="173" spans="1:52">
      <c r="A173" s="33" t="s">
        <v>164</v>
      </c>
      <c r="C173" s="54"/>
      <c r="D173" s="54"/>
      <c r="E173" s="54"/>
      <c r="F173" s="54"/>
      <c r="G173" s="54"/>
      <c r="H173" s="54"/>
      <c r="I173" s="78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74"/>
      <c r="AN173" s="39"/>
      <c r="AO173" s="54"/>
      <c r="AP173" s="39"/>
      <c r="AQ173" s="39"/>
      <c r="AR173" s="39"/>
      <c r="AS173" s="39"/>
      <c r="AT173" s="39"/>
      <c r="AU173" s="39"/>
      <c r="AV173" s="39"/>
      <c r="AW173" s="39"/>
      <c r="AX173" s="39"/>
      <c r="AY173" s="78"/>
      <c r="AZ173" s="57"/>
    </row>
    <row r="174" spans="1:52">
      <c r="A174" s="33" t="s">
        <v>165</v>
      </c>
      <c r="C174" s="54"/>
      <c r="D174" s="54"/>
      <c r="E174" s="54"/>
      <c r="F174" s="54"/>
      <c r="G174" s="54"/>
      <c r="H174" s="54"/>
      <c r="I174" s="78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74"/>
      <c r="AN174" s="39"/>
      <c r="AO174" s="54"/>
      <c r="AP174" s="39"/>
      <c r="AQ174" s="39"/>
      <c r="AR174" s="39"/>
      <c r="AS174" s="39"/>
      <c r="AT174" s="39"/>
      <c r="AU174" s="39"/>
      <c r="AV174" s="39"/>
      <c r="AW174" s="39"/>
      <c r="AX174" s="39"/>
      <c r="AY174" s="78"/>
      <c r="AZ174" s="57"/>
    </row>
    <row r="175" spans="1:52">
      <c r="A175" s="33" t="s">
        <v>86</v>
      </c>
      <c r="B175" s="33" t="s">
        <v>85</v>
      </c>
      <c r="C175" s="54">
        <f>SUM(C38+C49)*0.15+SUM(C38*0.02)</f>
        <v>479071.25</v>
      </c>
      <c r="D175" s="54">
        <f>SUM(D38+D49)*0.1</f>
        <v>0</v>
      </c>
      <c r="E175" s="54">
        <f>SUM(E38+E49)*0.1</f>
        <v>0</v>
      </c>
      <c r="F175" s="54">
        <f>SUM(F38+F49)*0.1</f>
        <v>0</v>
      </c>
      <c r="G175" s="54">
        <f>SUM(G38+G49)*0.1</f>
        <v>0</v>
      </c>
      <c r="H175" s="54">
        <f>SUM(H38+H49)*0.1</f>
        <v>0</v>
      </c>
      <c r="I175" s="78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78"/>
      <c r="AN175" s="54">
        <f t="shared" ref="AN175:AX175" si="98">SUM(AN38+AN49)*0.1</f>
        <v>0</v>
      </c>
      <c r="AO175" s="54">
        <f t="shared" si="98"/>
        <v>0</v>
      </c>
      <c r="AP175" s="54">
        <f t="shared" si="98"/>
        <v>0</v>
      </c>
      <c r="AQ175" s="54">
        <f t="shared" si="98"/>
        <v>0</v>
      </c>
      <c r="AR175" s="54">
        <f t="shared" si="98"/>
        <v>80</v>
      </c>
      <c r="AS175" s="54">
        <f t="shared" si="98"/>
        <v>0</v>
      </c>
      <c r="AT175" s="61">
        <f ca="1">SUM(PT!E175)</f>
        <v>0</v>
      </c>
      <c r="AU175" s="54">
        <f t="shared" si="98"/>
        <v>0</v>
      </c>
      <c r="AV175" s="54">
        <f t="shared" si="98"/>
        <v>0</v>
      </c>
      <c r="AW175" s="54">
        <f t="shared" si="98"/>
        <v>4944</v>
      </c>
      <c r="AX175" s="54">
        <f t="shared" si="98"/>
        <v>0</v>
      </c>
      <c r="AY175" s="78"/>
      <c r="AZ175" s="67">
        <f t="shared" ref="AZ175:AZ185" si="99">SUM(C175:H175)+SUM(AN175:AX175)</f>
        <v>484095.25</v>
      </c>
    </row>
    <row r="176" spans="1:52">
      <c r="A176" s="33" t="s">
        <v>91</v>
      </c>
      <c r="B176" s="33" t="s">
        <v>92</v>
      </c>
      <c r="C176" s="54"/>
      <c r="D176" s="54">
        <f t="shared" ref="D176:D185" si="100">SUM(J176:M176)</f>
        <v>0</v>
      </c>
      <c r="E176" s="71">
        <f t="shared" ref="E176:E185" si="101">SUM(O176:AG176)</f>
        <v>0</v>
      </c>
      <c r="F176" s="71">
        <f t="shared" ref="F176:F185" si="102">SUM(AH176:AL176)</f>
        <v>0</v>
      </c>
      <c r="G176" s="54"/>
      <c r="H176" s="54"/>
      <c r="I176" s="78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74"/>
      <c r="AN176" s="61">
        <f ca="1">SUM('AC-SVC'!C176)</f>
        <v>0</v>
      </c>
      <c r="AO176" s="61">
        <f ca="1">SUM('AC-SVC'!D176)</f>
        <v>0</v>
      </c>
      <c r="AP176" s="61">
        <f ca="1">SUM('AC-SVC'!E176)</f>
        <v>0</v>
      </c>
      <c r="AQ176" s="61">
        <f ca="1">SUM('AC-SVC'!F176)</f>
        <v>0</v>
      </c>
      <c r="AR176" s="61">
        <f ca="1">SUM('AC-SVC'!G176)</f>
        <v>0</v>
      </c>
      <c r="AS176" s="61">
        <f ca="1">SUM('AC-SVC'!H176)</f>
        <v>0</v>
      </c>
      <c r="AT176" s="61">
        <f ca="1">SUM(PT!E176)</f>
        <v>0</v>
      </c>
      <c r="AU176" s="61">
        <f ca="1">SUM(FC!F176)</f>
        <v>0</v>
      </c>
      <c r="AV176" s="61">
        <f ca="1">SUM(FN!H176)</f>
        <v>0</v>
      </c>
      <c r="AW176" s="61">
        <f ca="1">SUM(FS!F176)</f>
        <v>0</v>
      </c>
      <c r="AX176" s="61">
        <f ca="1">SUM(IT!F176)</f>
        <v>0</v>
      </c>
      <c r="AY176" s="87"/>
      <c r="AZ176" s="67">
        <f t="shared" si="99"/>
        <v>0</v>
      </c>
    </row>
    <row r="177" spans="1:52">
      <c r="A177" s="33" t="s">
        <v>93</v>
      </c>
      <c r="B177" s="33" t="s">
        <v>94</v>
      </c>
      <c r="C177" s="54"/>
      <c r="D177" s="54">
        <f t="shared" si="100"/>
        <v>0</v>
      </c>
      <c r="E177" s="71">
        <f t="shared" si="101"/>
        <v>0</v>
      </c>
      <c r="F177" s="71">
        <f t="shared" si="102"/>
        <v>0</v>
      </c>
      <c r="G177" s="54"/>
      <c r="H177" s="54"/>
      <c r="I177" s="78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74"/>
      <c r="AN177" s="61">
        <f ca="1">SUM('AC-SVC'!C177)</f>
        <v>0</v>
      </c>
      <c r="AO177" s="61">
        <f ca="1">SUM('AC-SVC'!D177)</f>
        <v>0</v>
      </c>
      <c r="AP177" s="61">
        <f ca="1">SUM('AC-SVC'!E177)</f>
        <v>0</v>
      </c>
      <c r="AQ177" s="61">
        <f ca="1">SUM('AC-SVC'!F177)</f>
        <v>0</v>
      </c>
      <c r="AR177" s="61">
        <f ca="1">SUM('AC-SVC'!G177)</f>
        <v>0</v>
      </c>
      <c r="AS177" s="61">
        <f ca="1">SUM('AC-SVC'!H177)</f>
        <v>0</v>
      </c>
      <c r="AT177" s="61">
        <f ca="1">SUM(PT!E177)</f>
        <v>0</v>
      </c>
      <c r="AU177" s="61">
        <f ca="1">SUM(FC!F177)</f>
        <v>0</v>
      </c>
      <c r="AV177" s="61">
        <f ca="1">SUM(FN!H177)</f>
        <v>0</v>
      </c>
      <c r="AW177" s="61">
        <f ca="1">SUM(FS!F177)</f>
        <v>0</v>
      </c>
      <c r="AX177" s="61">
        <f ca="1">SUM(IT!F177)</f>
        <v>0</v>
      </c>
      <c r="AY177" s="87"/>
      <c r="AZ177" s="67">
        <f t="shared" si="99"/>
        <v>0</v>
      </c>
    </row>
    <row r="178" spans="1:52">
      <c r="A178" s="33" t="s">
        <v>95</v>
      </c>
      <c r="B178" s="33" t="s">
        <v>432</v>
      </c>
      <c r="C178" s="54"/>
      <c r="D178" s="54">
        <f t="shared" si="100"/>
        <v>0</v>
      </c>
      <c r="E178" s="71">
        <f t="shared" si="101"/>
        <v>0</v>
      </c>
      <c r="F178" s="71">
        <f t="shared" si="102"/>
        <v>0</v>
      </c>
      <c r="G178" s="54"/>
      <c r="H178" s="54"/>
      <c r="I178" s="78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74"/>
      <c r="AN178" s="61">
        <f ca="1">SUM('AC-SVC'!C178)</f>
        <v>0</v>
      </c>
      <c r="AO178" s="61">
        <f ca="1">SUM('AC-SVC'!D178)</f>
        <v>0</v>
      </c>
      <c r="AP178" s="61">
        <f ca="1">SUM('AC-SVC'!E178)</f>
        <v>0</v>
      </c>
      <c r="AQ178" s="61">
        <f ca="1">SUM('AC-SVC'!F178)</f>
        <v>0</v>
      </c>
      <c r="AR178" s="61">
        <f ca="1">SUM('AC-SVC'!G178)</f>
        <v>0</v>
      </c>
      <c r="AS178" s="61">
        <f ca="1">SUM('AC-SVC'!H178)</f>
        <v>0</v>
      </c>
      <c r="AT178" s="61">
        <f ca="1">SUM(PT!E178)</f>
        <v>0</v>
      </c>
      <c r="AU178" s="61">
        <f ca="1">SUM(FC!F178)</f>
        <v>0</v>
      </c>
      <c r="AV178" s="61">
        <f ca="1">SUM(FN!H178)</f>
        <v>0</v>
      </c>
      <c r="AW178" s="61">
        <f ca="1">SUM(FS!F178)</f>
        <v>0</v>
      </c>
      <c r="AX178" s="61">
        <f ca="1">SUM(IT!F178)</f>
        <v>0</v>
      </c>
      <c r="AY178" s="87"/>
      <c r="AZ178" s="67">
        <f t="shared" si="99"/>
        <v>0</v>
      </c>
    </row>
    <row r="179" spans="1:52">
      <c r="A179" s="33" t="s">
        <v>96</v>
      </c>
      <c r="B179" s="33" t="s">
        <v>431</v>
      </c>
      <c r="C179" s="54"/>
      <c r="D179" s="54">
        <f t="shared" si="100"/>
        <v>0</v>
      </c>
      <c r="E179" s="71">
        <f t="shared" si="101"/>
        <v>0</v>
      </c>
      <c r="F179" s="71">
        <f t="shared" si="102"/>
        <v>0</v>
      </c>
      <c r="G179" s="54"/>
      <c r="H179" s="54"/>
      <c r="I179" s="78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74"/>
      <c r="AN179" s="61">
        <f ca="1">SUM('AC-SVC'!C179)</f>
        <v>0</v>
      </c>
      <c r="AO179" s="61">
        <f ca="1">SUM('AC-SVC'!D179)</f>
        <v>0</v>
      </c>
      <c r="AP179" s="61">
        <f ca="1">SUM('AC-SVC'!E179)</f>
        <v>0</v>
      </c>
      <c r="AQ179" s="61">
        <f ca="1">SUM('AC-SVC'!F179)</f>
        <v>0</v>
      </c>
      <c r="AR179" s="61">
        <f ca="1">SUM('AC-SVC'!G179)</f>
        <v>0</v>
      </c>
      <c r="AS179" s="61">
        <f ca="1">SUM('AC-SVC'!H179)</f>
        <v>0</v>
      </c>
      <c r="AT179" s="61">
        <f ca="1">SUM(PT!E179)</f>
        <v>0</v>
      </c>
      <c r="AU179" s="61">
        <f ca="1">SUM(FC!F179)</f>
        <v>0</v>
      </c>
      <c r="AV179" s="61">
        <f ca="1">SUM(FN!H179)</f>
        <v>0</v>
      </c>
      <c r="AW179" s="61">
        <f ca="1">SUM(FS!F179)</f>
        <v>0</v>
      </c>
      <c r="AX179" s="61">
        <f ca="1">SUM(IT!F179)</f>
        <v>0</v>
      </c>
      <c r="AY179" s="87"/>
      <c r="AZ179" s="67">
        <f t="shared" si="99"/>
        <v>0</v>
      </c>
    </row>
    <row r="180" spans="1:52">
      <c r="A180" s="33" t="s">
        <v>98</v>
      </c>
      <c r="B180" s="33" t="s">
        <v>99</v>
      </c>
      <c r="C180" s="54"/>
      <c r="D180" s="54">
        <f t="shared" si="100"/>
        <v>0</v>
      </c>
      <c r="E180" s="71">
        <f t="shared" si="101"/>
        <v>0</v>
      </c>
      <c r="F180" s="71">
        <f t="shared" si="102"/>
        <v>0</v>
      </c>
      <c r="G180" s="54"/>
      <c r="H180" s="54"/>
      <c r="I180" s="78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74"/>
      <c r="AN180" s="61">
        <f ca="1">SUM('AC-SVC'!C180)</f>
        <v>0</v>
      </c>
      <c r="AO180" s="61">
        <f ca="1">SUM('AC-SVC'!D180)</f>
        <v>0</v>
      </c>
      <c r="AP180" s="61">
        <f ca="1">SUM('AC-SVC'!E180)</f>
        <v>0</v>
      </c>
      <c r="AQ180" s="61">
        <f ca="1">SUM('AC-SVC'!F180)</f>
        <v>0</v>
      </c>
      <c r="AR180" s="61">
        <f ca="1">SUM('AC-SVC'!G180)</f>
        <v>0</v>
      </c>
      <c r="AS180" s="61">
        <f ca="1">SUM('AC-SVC'!H180)</f>
        <v>0</v>
      </c>
      <c r="AT180" s="61">
        <f ca="1">SUM(PT!E180)</f>
        <v>0</v>
      </c>
      <c r="AU180" s="61">
        <f ca="1">SUM(FC!F180)</f>
        <v>0</v>
      </c>
      <c r="AV180" s="61">
        <f ca="1">SUM(FN!H180)</f>
        <v>0</v>
      </c>
      <c r="AW180" s="61">
        <f ca="1">SUM(FS!F180)</f>
        <v>0</v>
      </c>
      <c r="AX180" s="61">
        <f ca="1">SUM(IT!F180)</f>
        <v>0</v>
      </c>
      <c r="AY180" s="87"/>
      <c r="AZ180" s="67">
        <f t="shared" si="99"/>
        <v>0</v>
      </c>
    </row>
    <row r="181" spans="1:52">
      <c r="A181" s="33" t="s">
        <v>100</v>
      </c>
      <c r="B181" s="33" t="s">
        <v>287</v>
      </c>
      <c r="C181" s="54"/>
      <c r="D181" s="54">
        <f t="shared" si="100"/>
        <v>0</v>
      </c>
      <c r="E181" s="71">
        <f t="shared" si="101"/>
        <v>0</v>
      </c>
      <c r="F181" s="71">
        <f t="shared" si="102"/>
        <v>0</v>
      </c>
      <c r="G181" s="54"/>
      <c r="H181" s="54"/>
      <c r="I181" s="78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74"/>
      <c r="AN181" s="61">
        <f ca="1">SUM('AC-SVC'!C181)</f>
        <v>0</v>
      </c>
      <c r="AO181" s="61">
        <f ca="1">SUM('AC-SVC'!D181)</f>
        <v>0</v>
      </c>
      <c r="AP181" s="61">
        <f ca="1">SUM('AC-SVC'!E181)</f>
        <v>0</v>
      </c>
      <c r="AQ181" s="61">
        <f ca="1">SUM('AC-SVC'!F181)</f>
        <v>0</v>
      </c>
      <c r="AR181" s="61">
        <f ca="1">SUM('AC-SVC'!G181)</f>
        <v>0</v>
      </c>
      <c r="AS181" s="61">
        <f ca="1">SUM('AC-SVC'!H181)</f>
        <v>0</v>
      </c>
      <c r="AT181" s="61">
        <f ca="1">SUM(PT!E181)</f>
        <v>0</v>
      </c>
      <c r="AU181" s="61">
        <f ca="1">SUM(FC!F181)</f>
        <v>0</v>
      </c>
      <c r="AV181" s="61">
        <f ca="1">SUM(FN!H181)</f>
        <v>0</v>
      </c>
      <c r="AW181" s="61">
        <f ca="1">SUM(FS!F181)</f>
        <v>0</v>
      </c>
      <c r="AX181" s="61">
        <f ca="1">SUM(IT!F181)</f>
        <v>0</v>
      </c>
      <c r="AY181" s="87"/>
      <c r="AZ181" s="67">
        <f t="shared" si="99"/>
        <v>0</v>
      </c>
    </row>
    <row r="182" spans="1:52">
      <c r="A182" s="33" t="s">
        <v>101</v>
      </c>
      <c r="B182" s="33" t="s">
        <v>102</v>
      </c>
      <c r="C182" s="54"/>
      <c r="D182" s="54">
        <f t="shared" si="100"/>
        <v>0</v>
      </c>
      <c r="E182" s="71">
        <f t="shared" si="101"/>
        <v>0</v>
      </c>
      <c r="F182" s="71">
        <f t="shared" si="102"/>
        <v>0</v>
      </c>
      <c r="G182" s="54"/>
      <c r="H182" s="54"/>
      <c r="I182" s="78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74"/>
      <c r="AN182" s="61">
        <f ca="1">SUM('AC-SVC'!C182)</f>
        <v>0</v>
      </c>
      <c r="AO182" s="61">
        <f ca="1">SUM('AC-SVC'!D182)</f>
        <v>0</v>
      </c>
      <c r="AP182" s="61">
        <f ca="1">SUM('AC-SVC'!E182)</f>
        <v>0</v>
      </c>
      <c r="AQ182" s="61">
        <f ca="1">SUM('AC-SVC'!F182)</f>
        <v>0</v>
      </c>
      <c r="AR182" s="61">
        <f ca="1">SUM('AC-SVC'!G182)</f>
        <v>0</v>
      </c>
      <c r="AS182" s="61">
        <f ca="1">SUM('AC-SVC'!H182)</f>
        <v>0</v>
      </c>
      <c r="AT182" s="61">
        <f ca="1">SUM(PT!E182)</f>
        <v>0</v>
      </c>
      <c r="AU182" s="61">
        <f ca="1">SUM(FC!F182)</f>
        <v>0</v>
      </c>
      <c r="AV182" s="61">
        <f ca="1">SUM(FN!H182)</f>
        <v>0</v>
      </c>
      <c r="AW182" s="61">
        <f ca="1">SUM(FS!F182)</f>
        <v>0</v>
      </c>
      <c r="AX182" s="61">
        <f ca="1">SUM(IT!F182)</f>
        <v>0</v>
      </c>
      <c r="AY182" s="87"/>
      <c r="AZ182" s="67">
        <f t="shared" si="99"/>
        <v>0</v>
      </c>
    </row>
    <row r="183" spans="1:52">
      <c r="A183" s="33" t="s">
        <v>105</v>
      </c>
      <c r="B183" s="33" t="s">
        <v>167</v>
      </c>
      <c r="C183" s="54"/>
      <c r="D183" s="54">
        <f t="shared" si="100"/>
        <v>0</v>
      </c>
      <c r="E183" s="71">
        <f t="shared" si="101"/>
        <v>0</v>
      </c>
      <c r="F183" s="71">
        <f t="shared" si="102"/>
        <v>0</v>
      </c>
      <c r="G183" s="54"/>
      <c r="H183" s="54"/>
      <c r="I183" s="78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74"/>
      <c r="AN183" s="61">
        <f ca="1">SUM('AC-SVC'!C183)</f>
        <v>0</v>
      </c>
      <c r="AO183" s="61">
        <f ca="1">SUM('AC-SVC'!D183)</f>
        <v>0</v>
      </c>
      <c r="AP183" s="61">
        <f ca="1">SUM('AC-SVC'!E183)</f>
        <v>0</v>
      </c>
      <c r="AQ183" s="61">
        <f ca="1">SUM('AC-SVC'!F183)</f>
        <v>0</v>
      </c>
      <c r="AR183" s="61">
        <f ca="1">SUM('AC-SVC'!G183)</f>
        <v>0</v>
      </c>
      <c r="AS183" s="61">
        <f ca="1">SUM('AC-SVC'!H183)</f>
        <v>0</v>
      </c>
      <c r="AT183" s="61">
        <f ca="1">SUM(PT!E183)</f>
        <v>0</v>
      </c>
      <c r="AU183" s="61">
        <f ca="1">SUM(FC!F183)</f>
        <v>0</v>
      </c>
      <c r="AV183" s="61">
        <f ca="1">SUM(FN!H183)</f>
        <v>0</v>
      </c>
      <c r="AW183" s="61">
        <f ca="1">SUM(FS!F183)</f>
        <v>0</v>
      </c>
      <c r="AX183" s="61">
        <f ca="1">SUM(IT!F183)</f>
        <v>0</v>
      </c>
      <c r="AY183" s="87"/>
      <c r="AZ183" s="67">
        <f t="shared" si="99"/>
        <v>0</v>
      </c>
    </row>
    <row r="184" spans="1:52">
      <c r="A184" s="33" t="s">
        <v>106</v>
      </c>
      <c r="B184" s="33" t="s">
        <v>107</v>
      </c>
      <c r="C184" s="54"/>
      <c r="D184" s="54">
        <f>SUM(J184:M184)</f>
        <v>0</v>
      </c>
      <c r="E184" s="71">
        <f t="shared" si="101"/>
        <v>0</v>
      </c>
      <c r="F184" s="71">
        <f t="shared" si="102"/>
        <v>0</v>
      </c>
      <c r="G184" s="54"/>
      <c r="H184" s="54"/>
      <c r="I184" s="78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74"/>
      <c r="AN184" s="61">
        <f ca="1">SUM('AC-SVC'!C184)</f>
        <v>0</v>
      </c>
      <c r="AO184" s="61">
        <f ca="1">SUM('AC-SVC'!D184)</f>
        <v>0</v>
      </c>
      <c r="AP184" s="61">
        <f ca="1">SUM('AC-SVC'!E184)</f>
        <v>0</v>
      </c>
      <c r="AQ184" s="61">
        <f ca="1">SUM('AC-SVC'!F184)</f>
        <v>0</v>
      </c>
      <c r="AR184" s="61">
        <f ca="1">SUM('AC-SVC'!G184)</f>
        <v>0</v>
      </c>
      <c r="AS184" s="61">
        <f ca="1">SUM('AC-SVC'!H184)</f>
        <v>0</v>
      </c>
      <c r="AT184" s="61">
        <f ca="1">SUM(PT!E184)</f>
        <v>0</v>
      </c>
      <c r="AU184" s="61">
        <f ca="1">SUM(FC!F184)</f>
        <v>0</v>
      </c>
      <c r="AV184" s="61">
        <f ca="1">SUM(FN!H184)</f>
        <v>0</v>
      </c>
      <c r="AW184" s="61">
        <f ca="1">SUM(FS!F184)</f>
        <v>0</v>
      </c>
      <c r="AX184" s="61">
        <f ca="1">SUM(IT!F184)</f>
        <v>0</v>
      </c>
      <c r="AY184" s="87"/>
      <c r="AZ184" s="67">
        <f t="shared" si="99"/>
        <v>0</v>
      </c>
    </row>
    <row r="185" spans="1:52">
      <c r="A185" s="33" t="s">
        <v>465</v>
      </c>
      <c r="B185" s="33" t="s">
        <v>466</v>
      </c>
      <c r="C185" s="55"/>
      <c r="D185" s="55">
        <f t="shared" si="100"/>
        <v>0</v>
      </c>
      <c r="E185" s="55">
        <f t="shared" si="101"/>
        <v>0</v>
      </c>
      <c r="F185" s="55">
        <f t="shared" si="102"/>
        <v>0</v>
      </c>
      <c r="G185" s="55"/>
      <c r="H185" s="55"/>
      <c r="I185" s="80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74"/>
      <c r="AN185" s="40">
        <f ca="1">SUM('AC-SVC'!C185)</f>
        <v>0</v>
      </c>
      <c r="AO185" s="40">
        <f ca="1">SUM('AC-SVC'!D185)</f>
        <v>0</v>
      </c>
      <c r="AP185" s="40">
        <f ca="1">SUM('AC-SVC'!E185)</f>
        <v>0</v>
      </c>
      <c r="AQ185" s="40">
        <f ca="1">SUM('AC-SVC'!F185)</f>
        <v>0</v>
      </c>
      <c r="AR185" s="40">
        <f ca="1">SUM('AC-SVC'!G185)</f>
        <v>0</v>
      </c>
      <c r="AS185" s="40">
        <f ca="1">SUM('AC-SVC'!H185)</f>
        <v>0</v>
      </c>
      <c r="AT185" s="40">
        <f ca="1">SUM(PT!E185)</f>
        <v>0</v>
      </c>
      <c r="AU185" s="40">
        <f ca="1">SUM(FC!F185)</f>
        <v>0</v>
      </c>
      <c r="AV185" s="40">
        <f ca="1">SUM(FN!H185)</f>
        <v>0</v>
      </c>
      <c r="AW185" s="40">
        <f ca="1">SUM(FS!F185)</f>
        <v>0</v>
      </c>
      <c r="AX185" s="40">
        <f ca="1">SUM(IT!F185)</f>
        <v>0</v>
      </c>
      <c r="AY185" s="80"/>
      <c r="AZ185" s="66">
        <f t="shared" si="99"/>
        <v>0</v>
      </c>
    </row>
    <row r="186" spans="1:52">
      <c r="B186" s="33" t="s">
        <v>168</v>
      </c>
      <c r="C186" s="54">
        <f t="shared" ref="C186:H186" si="103">SUM(C175:C185)</f>
        <v>479071.25</v>
      </c>
      <c r="D186" s="54">
        <f t="shared" si="103"/>
        <v>0</v>
      </c>
      <c r="E186" s="54">
        <f t="shared" si="103"/>
        <v>0</v>
      </c>
      <c r="F186" s="54">
        <f t="shared" si="103"/>
        <v>0</v>
      </c>
      <c r="G186" s="54">
        <f t="shared" si="103"/>
        <v>0</v>
      </c>
      <c r="H186" s="54">
        <f t="shared" si="103"/>
        <v>0</v>
      </c>
      <c r="I186" s="78"/>
      <c r="J186" s="54">
        <f t="shared" ref="J186:AL186" si="104">SUM(J175:J185)</f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/>
      <c r="O186" s="54">
        <f t="shared" si="104"/>
        <v>0</v>
      </c>
      <c r="P186" s="54">
        <f t="shared" si="104"/>
        <v>0</v>
      </c>
      <c r="Q186" s="54">
        <f t="shared" si="104"/>
        <v>0</v>
      </c>
      <c r="R186" s="54">
        <f t="shared" si="104"/>
        <v>0</v>
      </c>
      <c r="S186" s="54">
        <f t="shared" si="104"/>
        <v>0</v>
      </c>
      <c r="T186" s="54">
        <f t="shared" si="104"/>
        <v>0</v>
      </c>
      <c r="U186" s="54">
        <f t="shared" si="104"/>
        <v>0</v>
      </c>
      <c r="V186" s="54">
        <f t="shared" si="104"/>
        <v>0</v>
      </c>
      <c r="W186" s="54">
        <f t="shared" si="104"/>
        <v>0</v>
      </c>
      <c r="X186" s="54">
        <f t="shared" si="104"/>
        <v>0</v>
      </c>
      <c r="Y186" s="54">
        <f t="shared" si="104"/>
        <v>0</v>
      </c>
      <c r="Z186" s="54">
        <f t="shared" si="104"/>
        <v>0</v>
      </c>
      <c r="AA186" s="54">
        <f t="shared" si="104"/>
        <v>0</v>
      </c>
      <c r="AB186" s="54">
        <f t="shared" si="104"/>
        <v>0</v>
      </c>
      <c r="AC186" s="54">
        <f t="shared" si="104"/>
        <v>0</v>
      </c>
      <c r="AD186" s="54">
        <f t="shared" si="104"/>
        <v>0</v>
      </c>
      <c r="AE186" s="54">
        <f t="shared" si="104"/>
        <v>0</v>
      </c>
      <c r="AF186" s="54">
        <f t="shared" si="104"/>
        <v>0</v>
      </c>
      <c r="AG186" s="54">
        <f t="shared" si="104"/>
        <v>0</v>
      </c>
      <c r="AH186" s="54">
        <f t="shared" si="104"/>
        <v>0</v>
      </c>
      <c r="AI186" s="54">
        <f t="shared" si="104"/>
        <v>0</v>
      </c>
      <c r="AJ186" s="54">
        <f t="shared" si="104"/>
        <v>0</v>
      </c>
      <c r="AK186" s="54">
        <f>SUM(AK175:AK185)</f>
        <v>0</v>
      </c>
      <c r="AL186" s="54">
        <f t="shared" si="104"/>
        <v>0</v>
      </c>
      <c r="AM186" s="74"/>
      <c r="AN186" s="39">
        <f t="shared" ref="AN186:AX186" si="105">SUM(AN175:AN185)</f>
        <v>0</v>
      </c>
      <c r="AO186" s="39">
        <f t="shared" si="105"/>
        <v>0</v>
      </c>
      <c r="AP186" s="39">
        <f t="shared" si="105"/>
        <v>0</v>
      </c>
      <c r="AQ186" s="39">
        <f t="shared" si="105"/>
        <v>0</v>
      </c>
      <c r="AR186" s="39">
        <f t="shared" si="105"/>
        <v>80</v>
      </c>
      <c r="AS186" s="39">
        <f t="shared" si="105"/>
        <v>0</v>
      </c>
      <c r="AT186" s="39">
        <f t="shared" si="105"/>
        <v>0</v>
      </c>
      <c r="AU186" s="39">
        <f t="shared" si="105"/>
        <v>0</v>
      </c>
      <c r="AV186" s="39">
        <f t="shared" si="105"/>
        <v>0</v>
      </c>
      <c r="AW186" s="39">
        <f t="shared" si="105"/>
        <v>4944</v>
      </c>
      <c r="AX186" s="39">
        <f t="shared" si="105"/>
        <v>0</v>
      </c>
      <c r="AY186" s="78"/>
      <c r="AZ186" s="57">
        <f>SUM(AZ175:AZ185)</f>
        <v>484095.25</v>
      </c>
    </row>
    <row r="187" spans="1:52">
      <c r="C187" s="43"/>
      <c r="D187" s="43"/>
      <c r="E187" s="43"/>
      <c r="F187" s="43"/>
      <c r="G187" s="43"/>
      <c r="H187" s="43"/>
      <c r="I187" s="82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74"/>
      <c r="AN187" s="39"/>
      <c r="AO187" s="54"/>
      <c r="AP187" s="39"/>
      <c r="AQ187" s="39"/>
      <c r="AR187" s="39"/>
      <c r="AS187" s="39"/>
      <c r="AT187" s="39"/>
      <c r="AU187" s="39"/>
      <c r="AV187" s="39"/>
      <c r="AW187" s="39"/>
      <c r="AX187" s="39"/>
      <c r="AY187" s="78"/>
      <c r="AZ187" s="57"/>
    </row>
    <row r="188" spans="1:52" s="32" customFormat="1" ht="10.5">
      <c r="A188" s="37"/>
      <c r="B188" s="37" t="s">
        <v>169</v>
      </c>
      <c r="C188" s="47">
        <f t="shared" ref="C188:H188" si="106">+C122+C133+C141+C150+C155+C171+C186</f>
        <v>1280104.25</v>
      </c>
      <c r="D188" s="47">
        <f t="shared" si="106"/>
        <v>14400</v>
      </c>
      <c r="E188" s="47">
        <f t="shared" si="106"/>
        <v>106150</v>
      </c>
      <c r="F188" s="47">
        <f t="shared" si="106"/>
        <v>19375</v>
      </c>
      <c r="G188" s="47">
        <f t="shared" si="106"/>
        <v>3880</v>
      </c>
      <c r="H188" s="47">
        <f t="shared" si="106"/>
        <v>2680</v>
      </c>
      <c r="I188" s="83"/>
      <c r="J188" s="57">
        <f t="shared" ref="J188:AG188" si="107">+J122+J133+J141+J150+J155+J171+J186</f>
        <v>3600</v>
      </c>
      <c r="K188" s="57">
        <f t="shared" si="107"/>
        <v>3600</v>
      </c>
      <c r="L188" s="57">
        <f t="shared" si="107"/>
        <v>3600</v>
      </c>
      <c r="M188" s="57">
        <f t="shared" si="107"/>
        <v>3600</v>
      </c>
      <c r="N188" s="57"/>
      <c r="O188" s="57">
        <f t="shared" si="107"/>
        <v>3600</v>
      </c>
      <c r="P188" s="57">
        <f t="shared" si="107"/>
        <v>3600</v>
      </c>
      <c r="Q188" s="57">
        <f t="shared" si="107"/>
        <v>0</v>
      </c>
      <c r="R188" s="57">
        <f t="shared" si="107"/>
        <v>3600</v>
      </c>
      <c r="S188" s="57">
        <f t="shared" si="107"/>
        <v>0</v>
      </c>
      <c r="T188" s="57">
        <f t="shared" si="107"/>
        <v>0</v>
      </c>
      <c r="U188" s="57">
        <f t="shared" si="107"/>
        <v>2100</v>
      </c>
      <c r="V188" s="57">
        <f t="shared" si="107"/>
        <v>3600</v>
      </c>
      <c r="W188" s="57">
        <f t="shared" si="107"/>
        <v>0</v>
      </c>
      <c r="X188" s="57">
        <f t="shared" si="107"/>
        <v>2100</v>
      </c>
      <c r="Y188" s="57">
        <f t="shared" si="107"/>
        <v>2100</v>
      </c>
      <c r="Z188" s="57">
        <f t="shared" si="107"/>
        <v>0</v>
      </c>
      <c r="AA188" s="57">
        <f t="shared" si="107"/>
        <v>2100</v>
      </c>
      <c r="AB188" s="57">
        <f t="shared" si="107"/>
        <v>0</v>
      </c>
      <c r="AC188" s="57">
        <f t="shared" si="107"/>
        <v>7100</v>
      </c>
      <c r="AD188" s="57">
        <f t="shared" si="107"/>
        <v>69150</v>
      </c>
      <c r="AE188" s="57">
        <f t="shared" si="107"/>
        <v>7100</v>
      </c>
      <c r="AF188" s="57">
        <f t="shared" si="107"/>
        <v>0</v>
      </c>
      <c r="AG188" s="57">
        <f t="shared" si="107"/>
        <v>0</v>
      </c>
      <c r="AH188" s="57">
        <f>+AH122+AH133+AH141+AH150+AH155+AH171+AH186</f>
        <v>3575</v>
      </c>
      <c r="AI188" s="57">
        <f>+AI122+AI133+AI141+AI150+AI155+AI171+AI186</f>
        <v>3575</v>
      </c>
      <c r="AJ188" s="57">
        <f>+AJ122+AJ133+AJ141+AJ150+AJ155+AJ171+AJ186</f>
        <v>5075</v>
      </c>
      <c r="AK188" s="57">
        <f>+AK122+AK133+AK141+AK150+AK155+AK171+AK186</f>
        <v>3575</v>
      </c>
      <c r="AL188" s="57">
        <f>+AL122+AL133+AL141+AL150+AL155+AL171+AL186</f>
        <v>3575</v>
      </c>
      <c r="AM188" s="77"/>
      <c r="AN188" s="41">
        <f t="shared" ref="AN188:AX188" si="108">+AN122+AN133+AN141+AN150+AN155+AN171+AN186</f>
        <v>6287.5</v>
      </c>
      <c r="AO188" s="57">
        <f t="shared" si="108"/>
        <v>6910</v>
      </c>
      <c r="AP188" s="41">
        <f t="shared" si="108"/>
        <v>5910</v>
      </c>
      <c r="AQ188" s="41">
        <f t="shared" si="108"/>
        <v>5810</v>
      </c>
      <c r="AR188" s="41">
        <f t="shared" si="108"/>
        <v>33233</v>
      </c>
      <c r="AS188" s="41">
        <f t="shared" si="108"/>
        <v>3540</v>
      </c>
      <c r="AT188" s="41">
        <f t="shared" si="108"/>
        <v>9000</v>
      </c>
      <c r="AU188" s="41">
        <f t="shared" si="108"/>
        <v>137246.26250000001</v>
      </c>
      <c r="AV188" s="41">
        <f t="shared" si="108"/>
        <v>0</v>
      </c>
      <c r="AW188" s="41">
        <f t="shared" si="108"/>
        <v>93130</v>
      </c>
      <c r="AX188" s="41">
        <f t="shared" si="108"/>
        <v>134023.07750000001</v>
      </c>
      <c r="AY188" s="81"/>
      <c r="AZ188" s="57">
        <f>+AZ122+AZ133+AZ141+AZ150+AZ155+AZ171+AZ186</f>
        <v>1861679.09</v>
      </c>
    </row>
    <row r="189" spans="1:52">
      <c r="C189" s="43"/>
      <c r="D189" s="43"/>
      <c r="E189" s="43"/>
      <c r="F189" s="43"/>
      <c r="G189" s="43"/>
      <c r="H189" s="43"/>
      <c r="I189" s="82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74"/>
      <c r="AN189" s="39"/>
      <c r="AO189" s="54"/>
      <c r="AP189" s="39"/>
      <c r="AQ189" s="39"/>
      <c r="AR189" s="39"/>
      <c r="AS189" s="39"/>
      <c r="AT189" s="39"/>
      <c r="AU189" s="39"/>
      <c r="AV189" s="39"/>
      <c r="AW189" s="39"/>
      <c r="AX189" s="39"/>
      <c r="AY189" s="78"/>
      <c r="AZ189" s="57"/>
    </row>
    <row r="190" spans="1:52">
      <c r="B190" s="37" t="s">
        <v>476</v>
      </c>
      <c r="C190" s="54">
        <f t="shared" ref="C190:H190" si="109">SUM(C104+C188)</f>
        <v>1285104.25</v>
      </c>
      <c r="D190" s="54">
        <f t="shared" si="109"/>
        <v>382893.04407426645</v>
      </c>
      <c r="E190" s="54">
        <f t="shared" si="109"/>
        <v>645916.6141297234</v>
      </c>
      <c r="F190" s="54">
        <f t="shared" si="109"/>
        <v>281790.92488506244</v>
      </c>
      <c r="G190" s="54">
        <f t="shared" si="109"/>
        <v>138297.04010276502</v>
      </c>
      <c r="H190" s="54">
        <f t="shared" si="109"/>
        <v>74343.909023126864</v>
      </c>
      <c r="I190" s="78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74"/>
      <c r="AN190" s="54">
        <f>SUM(AN104+AN188)</f>
        <v>25258.568950411925</v>
      </c>
      <c r="AO190" s="54">
        <f t="shared" ref="AO190:AX190" si="110">SUM(AO104+AO188)</f>
        <v>39128.309088941518</v>
      </c>
      <c r="AP190" s="54">
        <f t="shared" si="110"/>
        <v>33344.736563700004</v>
      </c>
      <c r="AQ190" s="54">
        <f t="shared" si="110"/>
        <v>37433.439803079338</v>
      </c>
      <c r="AR190" s="54">
        <f t="shared" si="110"/>
        <v>57967.577201799999</v>
      </c>
      <c r="AS190" s="54">
        <f>SUM(AS104+AS188)</f>
        <v>19982.654996000001</v>
      </c>
      <c r="AT190" s="54">
        <f t="shared" si="110"/>
        <v>30602.811576</v>
      </c>
      <c r="AU190" s="54">
        <f t="shared" si="110"/>
        <v>189702.72845034779</v>
      </c>
      <c r="AV190" s="54">
        <f t="shared" si="110"/>
        <v>0</v>
      </c>
      <c r="AW190" s="54">
        <f t="shared" si="110"/>
        <v>137737.56207400199</v>
      </c>
      <c r="AX190" s="54">
        <f t="shared" si="110"/>
        <v>147119.18260544521</v>
      </c>
      <c r="AY190" s="78"/>
      <c r="AZ190" s="57">
        <f>SUM(AZ104+AZ188)</f>
        <v>3526623.3535246719</v>
      </c>
    </row>
    <row r="191" spans="1:52" s="32" customFormat="1">
      <c r="A191" s="33"/>
      <c r="B191" s="33"/>
      <c r="C191" s="43"/>
      <c r="D191" s="43"/>
      <c r="E191" s="43"/>
      <c r="F191" s="43"/>
      <c r="G191" s="43"/>
      <c r="H191" s="43"/>
      <c r="I191" s="82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74"/>
      <c r="AN191" s="39"/>
      <c r="AO191" s="54"/>
      <c r="AP191" s="39"/>
      <c r="AQ191" s="39"/>
      <c r="AR191" s="39"/>
      <c r="AS191" s="39"/>
      <c r="AT191" s="39"/>
      <c r="AU191" s="39"/>
      <c r="AV191" s="39"/>
      <c r="AW191" s="39"/>
      <c r="AX191" s="39"/>
      <c r="AY191" s="78"/>
      <c r="AZ191" s="57"/>
    </row>
    <row r="192" spans="1:52">
      <c r="A192" s="37">
        <f>+SUM(C192:H192)</f>
        <v>453386.21778505592</v>
      </c>
      <c r="B192" s="37" t="s">
        <v>170</v>
      </c>
      <c r="C192" s="47">
        <f t="shared" ref="C192:H192" si="111">SUM(C68-C190)</f>
        <v>1976627.75</v>
      </c>
      <c r="D192" s="47">
        <f t="shared" si="111"/>
        <v>-382893.04407426645</v>
      </c>
      <c r="E192" s="47">
        <f t="shared" si="111"/>
        <v>-645916.6141297234</v>
      </c>
      <c r="F192" s="47">
        <f t="shared" si="111"/>
        <v>-281790.92488506244</v>
      </c>
      <c r="G192" s="47">
        <f t="shared" si="111"/>
        <v>-138297.04010276502</v>
      </c>
      <c r="H192" s="47">
        <f t="shared" si="111"/>
        <v>-74343.909023126864</v>
      </c>
      <c r="I192" s="83"/>
      <c r="J192" s="47">
        <f t="shared" ref="J192:AG192" si="112">+J68-J104-J188</f>
        <v>-91955.55804008049</v>
      </c>
      <c r="K192" s="47">
        <f t="shared" si="112"/>
        <v>-85059.158040080481</v>
      </c>
      <c r="L192" s="47">
        <f t="shared" si="112"/>
        <v>-85339.158040080481</v>
      </c>
      <c r="M192" s="47">
        <f t="shared" si="112"/>
        <v>-120539.16995402498</v>
      </c>
      <c r="N192" s="47"/>
      <c r="O192" s="47">
        <f t="shared" si="112"/>
        <v>-91955.55804008049</v>
      </c>
      <c r="P192" s="47">
        <f t="shared" si="112"/>
        <v>-85059.158040080481</v>
      </c>
      <c r="Q192" s="47">
        <f t="shared" si="112"/>
        <v>0</v>
      </c>
      <c r="R192" s="47">
        <f t="shared" si="112"/>
        <v>-62209.584977012491</v>
      </c>
      <c r="S192" s="47">
        <f t="shared" si="112"/>
        <v>0</v>
      </c>
      <c r="T192" s="47">
        <f t="shared" si="112"/>
        <v>0</v>
      </c>
      <c r="U192" s="47">
        <f t="shared" si="112"/>
        <v>-28604.092488506245</v>
      </c>
      <c r="V192" s="47">
        <f t="shared" si="112"/>
        <v>-62209.584977012491</v>
      </c>
      <c r="W192" s="47">
        <f t="shared" si="112"/>
        <v>0</v>
      </c>
      <c r="X192" s="47">
        <f t="shared" si="112"/>
        <v>-28187.592488506245</v>
      </c>
      <c r="Y192" s="47">
        <f t="shared" si="112"/>
        <v>-28187.592488506245</v>
      </c>
      <c r="Z192" s="47">
        <f t="shared" si="112"/>
        <v>0</v>
      </c>
      <c r="AA192" s="47">
        <f t="shared" si="112"/>
        <v>-28187.592488506245</v>
      </c>
      <c r="AB192" s="47">
        <f t="shared" si="112"/>
        <v>0</v>
      </c>
      <c r="AC192" s="47">
        <f t="shared" si="112"/>
        <v>-50209.135304000003</v>
      </c>
      <c r="AD192" s="47">
        <f t="shared" si="112"/>
        <v>-121523.5378605</v>
      </c>
      <c r="AE192" s="47">
        <f t="shared" si="112"/>
        <v>-59583.18497701249</v>
      </c>
      <c r="AF192" s="47">
        <f t="shared" si="112"/>
        <v>0</v>
      </c>
      <c r="AG192" s="47">
        <f t="shared" si="112"/>
        <v>0</v>
      </c>
      <c r="AH192" s="47">
        <f>+AH68-AH104-AH188</f>
        <v>-56058.18497701249</v>
      </c>
      <c r="AI192" s="47">
        <f>+AI68-AI104-AI188</f>
        <v>-56058.18497701249</v>
      </c>
      <c r="AJ192" s="47">
        <f>+AJ68-AJ104-AJ188</f>
        <v>-57558.18497701249</v>
      </c>
      <c r="AK192" s="47">
        <f>+AK68-AK104-AK188</f>
        <v>-56058.18497701249</v>
      </c>
      <c r="AL192" s="47">
        <f>+AL68-AL104-AL188</f>
        <v>-56058.18497701249</v>
      </c>
      <c r="AM192" s="77"/>
      <c r="AN192" s="47">
        <f t="shared" ref="AN192:AX192" si="113">SUM(AN68-AN190)</f>
        <v>-25258.568950411925</v>
      </c>
      <c r="AO192" s="47">
        <f t="shared" si="113"/>
        <v>23371.690911058482</v>
      </c>
      <c r="AP192" s="47">
        <f t="shared" si="113"/>
        <v>-33344.736563700004</v>
      </c>
      <c r="AQ192" s="47">
        <f t="shared" si="113"/>
        <v>-37433.439803079338</v>
      </c>
      <c r="AR192" s="47">
        <f t="shared" si="113"/>
        <v>-57167.577201799999</v>
      </c>
      <c r="AS192" s="47">
        <f>SUM(AS68-AS190)</f>
        <v>-19982.654996000001</v>
      </c>
      <c r="AT192" s="47">
        <f t="shared" si="113"/>
        <v>3147.1884239999999</v>
      </c>
      <c r="AU192" s="47">
        <f t="shared" si="113"/>
        <v>-189702.72845034779</v>
      </c>
      <c r="AV192" s="47">
        <f t="shared" si="113"/>
        <v>0</v>
      </c>
      <c r="AW192" s="47">
        <f t="shared" si="113"/>
        <v>12065.637925998017</v>
      </c>
      <c r="AX192" s="47">
        <f t="shared" si="113"/>
        <v>-129071.48860544521</v>
      </c>
      <c r="AY192" s="81"/>
      <c r="AZ192" s="57">
        <f>SUM(AZ68-AZ190)</f>
        <v>9.5404753279872239</v>
      </c>
    </row>
    <row r="193" spans="4:49">
      <c r="D193" s="28">
        <f>+SUM(J192:M192)-D192</f>
        <v>0</v>
      </c>
      <c r="E193" s="28">
        <f>+SUM(O192:AG192)-E192</f>
        <v>0</v>
      </c>
      <c r="F193" s="28">
        <f>+SUM(AH192:AL192)-F192</f>
        <v>0</v>
      </c>
      <c r="AN193" s="59"/>
      <c r="AO193" s="60"/>
      <c r="AP193" s="59"/>
      <c r="AQ193" s="59"/>
      <c r="AR193" s="59"/>
      <c r="AU193" s="39"/>
      <c r="AW193" s="39"/>
    </row>
    <row r="194" spans="4:49">
      <c r="AN194" s="59"/>
      <c r="AO194" s="60"/>
      <c r="AP194" s="59"/>
      <c r="AQ194" s="59"/>
      <c r="AR194" s="59"/>
    </row>
    <row r="195" spans="4:49">
      <c r="AN195" s="59"/>
      <c r="AO195" s="60"/>
      <c r="AP195" s="59"/>
      <c r="AQ195" s="59"/>
      <c r="AR195" s="59"/>
    </row>
    <row r="196" spans="4:49">
      <c r="AN196" s="59"/>
      <c r="AO196" s="60"/>
      <c r="AP196" s="59"/>
      <c r="AQ196" s="59"/>
      <c r="AR196" s="59"/>
    </row>
  </sheetData>
  <phoneticPr fontId="0" type="noConversion"/>
  <pageMargins left="0.7" right="0.7" top="0.75" bottom="0.75" header="0.3" footer="0.3"/>
  <pageSetup paperSize="5" scale="30" fitToHeight="0" orientation="landscape" r:id="rId1"/>
  <headerFooter alignWithMargins="0">
    <oddHeader>&amp;C&amp;"MS Sans Serif,Bold"&amp;18INTERNATIONAL SCHOOL OF LOUISIANA
JEFFERSON PARISH SITE
&amp;13BUDGET '12-2013</oddHeader>
    <oddFooter>&amp;L&amp;6&amp;Z&amp;F&amp;R&amp;P of &amp;N</oddFooter>
  </headerFooter>
  <ignoredErrors>
    <ignoredError sqref="D7:E7 D87 D110 D15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FC-SCH</vt:lpstr>
      <vt:lpstr>AC-SCH</vt:lpstr>
      <vt:lpstr>OP-SCH</vt:lpstr>
      <vt:lpstr>STF-SCH</vt:lpstr>
      <vt:lpstr>12-2013 Ret Emp</vt:lpstr>
      <vt:lpstr>SUM</vt:lpstr>
      <vt:lpstr>CAMP</vt:lpstr>
      <vt:lpstr>OLIVIER</vt:lpstr>
      <vt:lpstr>JEFF</vt:lpstr>
      <vt:lpstr>CMO</vt:lpstr>
      <vt:lpstr>AC-SVC</vt:lpstr>
      <vt:lpstr>PT</vt:lpstr>
      <vt:lpstr>CCLC</vt:lpstr>
      <vt:lpstr>DID</vt:lpstr>
      <vt:lpstr>FC</vt:lpstr>
      <vt:lpstr>FN</vt:lpstr>
      <vt:lpstr>FS</vt:lpstr>
      <vt:lpstr>HR</vt:lpstr>
      <vt:lpstr>IT</vt:lpstr>
      <vt:lpstr>NOTES</vt:lpstr>
      <vt:lpstr>JEFF!Print_Area</vt:lpstr>
      <vt:lpstr>SUM!Print_Area</vt:lpstr>
      <vt:lpstr>FC!Print_Titles</vt:lpstr>
      <vt:lpstr>FN!Print_Titles</vt:lpstr>
      <vt:lpstr>FS!Print_Titles</vt:lpstr>
      <vt:lpstr>HR!Print_Titles</vt:lpstr>
      <vt:lpstr>IT!Print_Titles</vt:lpstr>
      <vt:lpstr>JEFF!Print_Titles</vt:lpstr>
      <vt:lpstr>SUM!Print_Titles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REVISION</dc:title>
  <dc:creator>Sean Wilson</dc:creator>
  <cp:lastModifiedBy>HP_Administrator</cp:lastModifiedBy>
  <cp:lastPrinted>2012-06-10T21:05:26Z</cp:lastPrinted>
  <dcterms:created xsi:type="dcterms:W3CDTF">2011-03-12T00:48:30Z</dcterms:created>
  <dcterms:modified xsi:type="dcterms:W3CDTF">2012-06-11T22:02:30Z</dcterms:modified>
</cp:coreProperties>
</file>